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Shlyahtina\Desktop\"/>
    </mc:Choice>
  </mc:AlternateContent>
  <bookViews>
    <workbookView xWindow="0" yWindow="0" windowWidth="19200" windowHeight="11595" firstSheet="11" activeTab="11"/>
  </bookViews>
  <sheets>
    <sheet name="титульный" sheetId="1" r:id="rId1"/>
    <sheet name="Раздел I 2018" sheetId="2" r:id="rId2"/>
    <sheet name="Раздел I 2019" sheetId="6" r:id="rId3"/>
    <sheet name="Раздел I 2020" sheetId="7" r:id="rId4"/>
    <sheet name="Раздел 4" sheetId="12" r:id="rId5"/>
    <sheet name="Раздел 5 подпись" sheetId="13" r:id="rId6"/>
    <sheet name="Раздел II обоснование 2018" sheetId="3" r:id="rId7"/>
    <sheet name="Раздел II обоснование 2019" sheetId="14" r:id="rId8"/>
    <sheet name="Раздел II обоснование 2020" sheetId="15" r:id="rId9"/>
    <sheet name="Раздел II обоснование ПДД 2018" sheetId="5" r:id="rId10"/>
    <sheet name="Раздел II обоснование ПДД2019" sheetId="10" r:id="rId11"/>
    <sheet name="Раздел II обоснование ПДД 2020" sheetId="11" r:id="rId12"/>
    <sheet name="Сведения по иным" sheetId="4" r:id="rId13"/>
    <sheet name="Лист1" sheetId="16" r:id="rId14"/>
  </sheets>
  <externalReferences>
    <externalReference r:id="rId15"/>
  </externalReferences>
  <definedNames>
    <definedName name="_Par917" localSheetId="12">'Сведения по иным'!$A$42</definedName>
    <definedName name="_Par918" localSheetId="12">'Сведения по иным'!$B$42</definedName>
    <definedName name="_Par919" localSheetId="12">'Сведения по иным'!$C$42</definedName>
    <definedName name="_Par920" localSheetId="12">'Сведения по иным'!$D$42</definedName>
    <definedName name="_Par921" localSheetId="12">'Сведения по иным'!$E$42</definedName>
    <definedName name="_Par922" localSheetId="12">'Сведения по иным'!$F$42</definedName>
    <definedName name="_Par923" localSheetId="12">'Сведения по иным'!$G$42</definedName>
    <definedName name="_Par924" localSheetId="12">'Сведения по иным'!$H$42</definedName>
    <definedName name="_Par925" localSheetId="12">'Сведения по иным'!$I$42</definedName>
    <definedName name="_Par926" localSheetId="12">'Сведения по иным'!$J$42</definedName>
    <definedName name="Z_91D40EB3_3AB1_43EC_9BD4_811B569873C7_.wvu.PrintArea" localSheetId="1" hidden="1">'Раздел I 2018'!$A$1:$L$64</definedName>
    <definedName name="Z_91D40EB3_3AB1_43EC_9BD4_811B569873C7_.wvu.PrintArea" localSheetId="2" hidden="1">'Раздел I 2019'!$A$1:$L$64</definedName>
    <definedName name="Z_91D40EB3_3AB1_43EC_9BD4_811B569873C7_.wvu.PrintArea" localSheetId="3" hidden="1">'Раздел I 2020'!$A$1:$L$64</definedName>
    <definedName name="Z_91D40EB3_3AB1_43EC_9BD4_811B569873C7_.wvu.PrintArea" localSheetId="6" hidden="1">'Раздел II обоснование 2018'!$A$1:$K$172</definedName>
    <definedName name="Z_91D40EB3_3AB1_43EC_9BD4_811B569873C7_.wvu.PrintArea" localSheetId="7" hidden="1">'Раздел II обоснование 2019'!$A$1:$K$155</definedName>
    <definedName name="Z_91D40EB3_3AB1_43EC_9BD4_811B569873C7_.wvu.PrintArea" localSheetId="8" hidden="1">'Раздел II обоснование 2020'!$A$1:$K$155</definedName>
    <definedName name="Z_91D40EB3_3AB1_43EC_9BD4_811B569873C7_.wvu.PrintArea" localSheetId="9" hidden="1">'Раздел II обоснование ПДД 2018'!$A$1:$K$157</definedName>
    <definedName name="Z_91D40EB3_3AB1_43EC_9BD4_811B569873C7_.wvu.PrintArea" localSheetId="11" hidden="1">'Раздел II обоснование ПДД 2020'!$A$1:$K$157</definedName>
    <definedName name="Z_91D40EB3_3AB1_43EC_9BD4_811B569873C7_.wvu.PrintArea" localSheetId="10" hidden="1">'Раздел II обоснование ПДД2019'!$A$1:$K$157</definedName>
    <definedName name="Z_91D40EB3_3AB1_43EC_9BD4_811B569873C7_.wvu.PrintArea" localSheetId="12" hidden="1">'Сведения по иным'!$A$1:$Q$64</definedName>
    <definedName name="Z_91D40EB3_3AB1_43EC_9BD4_811B569873C7_.wvu.PrintArea" localSheetId="0" hidden="1">титульный!$A$1:$G$86</definedName>
    <definedName name="Z_FB496A58_F583_46B2_B046_A2748948A2F7_.wvu.PrintArea" localSheetId="1" hidden="1">'Раздел I 2018'!$A$1:$L$64</definedName>
    <definedName name="Z_FB496A58_F583_46B2_B046_A2748948A2F7_.wvu.PrintArea" localSheetId="2" hidden="1">'Раздел I 2019'!$A$1:$L$64</definedName>
    <definedName name="Z_FB496A58_F583_46B2_B046_A2748948A2F7_.wvu.PrintArea" localSheetId="3" hidden="1">'Раздел I 2020'!$A$1:$L$64</definedName>
    <definedName name="Z_FB496A58_F583_46B2_B046_A2748948A2F7_.wvu.PrintArea" localSheetId="6" hidden="1">'Раздел II обоснование 2018'!$A$1:$J$172</definedName>
    <definedName name="Z_FB496A58_F583_46B2_B046_A2748948A2F7_.wvu.PrintArea" localSheetId="7" hidden="1">'Раздел II обоснование 2019'!$A$1:$J$155</definedName>
    <definedName name="Z_FB496A58_F583_46B2_B046_A2748948A2F7_.wvu.PrintArea" localSheetId="8" hidden="1">'Раздел II обоснование 2020'!$A$1:$J$155</definedName>
    <definedName name="Z_FB496A58_F583_46B2_B046_A2748948A2F7_.wvu.PrintArea" localSheetId="9" hidden="1">'Раздел II обоснование ПДД 2018'!$A$1:$J$157</definedName>
    <definedName name="Z_FB496A58_F583_46B2_B046_A2748948A2F7_.wvu.PrintArea" localSheetId="11" hidden="1">'Раздел II обоснование ПДД 2020'!$A$1:$J$157</definedName>
    <definedName name="Z_FB496A58_F583_46B2_B046_A2748948A2F7_.wvu.PrintArea" localSheetId="10" hidden="1">'Раздел II обоснование ПДД2019'!$A$1:$J$157</definedName>
    <definedName name="Z_FB496A58_F583_46B2_B046_A2748948A2F7_.wvu.PrintArea" localSheetId="12" hidden="1">'Сведения по иным'!$A$1:$Q$64</definedName>
    <definedName name="Z_FB496A58_F583_46B2_B046_A2748948A2F7_.wvu.PrintArea" localSheetId="0" hidden="1">титульный!$A$1:$G$86</definedName>
    <definedName name="_xlnm.Print_Titles" localSheetId="4">'Раздел 4'!$4:$8</definedName>
    <definedName name="_xlnm.Print_Titles" localSheetId="5">'Раздел 5 подпись'!#REF!</definedName>
    <definedName name="_xlnm.Print_Titles" localSheetId="1">'Раздел I 2018'!$6:$10</definedName>
    <definedName name="_xlnm.Print_Titles" localSheetId="2">'Раздел I 2019'!$6:$10</definedName>
    <definedName name="_xlnm.Print_Titles" localSheetId="3">'Раздел I 2020'!$6:$10</definedName>
    <definedName name="_xlnm.Print_Area" localSheetId="4">'Раздел 4'!$A$1:$L$74</definedName>
    <definedName name="_xlnm.Print_Area" localSheetId="5">'Раздел 5 подпись'!$A$1:$L$24</definedName>
    <definedName name="_xlnm.Print_Area" localSheetId="1">'Раздел I 2018'!$A$1:$L$62</definedName>
    <definedName name="_xlnm.Print_Area" localSheetId="2">'Раздел I 2019'!$A$1:$I$62</definedName>
    <definedName name="_xlnm.Print_Area" localSheetId="3">'Раздел I 2020'!$A$1:$L$62</definedName>
    <definedName name="_xlnm.Print_Area" localSheetId="6">'Раздел II обоснование 2018'!$A$1:$J$176</definedName>
    <definedName name="_xlnm.Print_Area" localSheetId="7">'Раздел II обоснование 2019'!$A$1:$J$170</definedName>
    <definedName name="_xlnm.Print_Area" localSheetId="8">'Раздел II обоснование 2020'!$A$1:$J$170</definedName>
    <definedName name="_xlnm.Print_Area" localSheetId="9">'Раздел II обоснование ПДД 2018'!$A$1:$J$160</definedName>
    <definedName name="_xlnm.Print_Area" localSheetId="11">'Раздел II обоснование ПДД 2020'!$A$1:$J$160</definedName>
    <definedName name="_xlnm.Print_Area" localSheetId="10">'Раздел II обоснование ПДД2019'!$A$1:$J$160</definedName>
    <definedName name="_xlnm.Print_Area" localSheetId="12">'Сведения по иным'!$A$1:$P$64</definedName>
    <definedName name="_xlnm.Print_Area" localSheetId="0">титульный!$A$1:$G$86</definedName>
  </definedNames>
  <calcPr calcId="152511" refMode="R1C1"/>
  <customWorkbookViews>
    <customWorkbookView name="AShabalina - Личное представление" guid="{91D40EB3-3AB1-43EC-9BD4-811B569873C7}" mergeInterval="0" personalView="1" maximized="1" xWindow="1" yWindow="1" windowWidth="1440" windowHeight="670" activeSheetId="3"/>
    <customWorkbookView name="NKozhushok - Личное представление" guid="{30DD97D7-A999-4776-AF65-71256237214E}" mergeInterval="0" personalView="1" maximized="1" xWindow="1" yWindow="1" windowWidth="1280" windowHeight="794" activeSheetId="3"/>
    <customWorkbookView name="oradchenko - Личное представление" guid="{FB496A58-F583-46B2-B046-A2748948A2F7}" mergeInterval="0" personalView="1" maximized="1" xWindow="1" yWindow="1" windowWidth="1280" windowHeight="730" activeSheetId="3"/>
  </customWorkbookViews>
</workbook>
</file>

<file path=xl/calcChain.xml><?xml version="1.0" encoding="utf-8"?>
<calcChain xmlns="http://schemas.openxmlformats.org/spreadsheetml/2006/main">
  <c r="E10" i="12" l="1"/>
  <c r="F10" i="12"/>
  <c r="J10" i="12"/>
  <c r="D10" i="12" s="1"/>
  <c r="K10" i="12"/>
  <c r="D11" i="12"/>
  <c r="E11" i="12"/>
  <c r="F11" i="12"/>
  <c r="D12" i="12"/>
  <c r="E12" i="12"/>
  <c r="F12" i="12"/>
  <c r="D13" i="12"/>
  <c r="E13" i="12"/>
  <c r="F13" i="12"/>
  <c r="D14" i="12"/>
  <c r="E14" i="12"/>
  <c r="F14" i="12"/>
  <c r="D15" i="12"/>
  <c r="E15" i="12"/>
  <c r="F15" i="12"/>
  <c r="D16" i="12"/>
  <c r="E16" i="12"/>
  <c r="F16" i="12"/>
  <c r="D17" i="12"/>
  <c r="E17" i="12"/>
  <c r="F17" i="12"/>
  <c r="D18" i="12"/>
  <c r="E18" i="12"/>
  <c r="F18" i="12"/>
  <c r="D19" i="12"/>
  <c r="E19" i="12"/>
  <c r="F19" i="12"/>
  <c r="D20" i="12"/>
  <c r="E20" i="12"/>
  <c r="F20" i="12"/>
  <c r="D21" i="12"/>
  <c r="E21" i="12"/>
  <c r="F21" i="12"/>
  <c r="D22" i="12"/>
  <c r="E22" i="12"/>
  <c r="F22" i="12"/>
  <c r="D23" i="12"/>
  <c r="E23" i="12"/>
  <c r="F23" i="12"/>
  <c r="D24" i="12"/>
  <c r="E24" i="12"/>
  <c r="F24" i="12"/>
  <c r="D25" i="12"/>
  <c r="E25" i="12"/>
  <c r="F25" i="12"/>
  <c r="D26" i="12"/>
  <c r="E26" i="12"/>
  <c r="F26" i="12"/>
  <c r="F27" i="12"/>
  <c r="E28" i="12"/>
  <c r="F28" i="12"/>
  <c r="J28" i="12"/>
  <c r="J27" i="12" s="1"/>
  <c r="D27" i="12" s="1"/>
  <c r="K28" i="12"/>
  <c r="D29" i="12"/>
  <c r="F29" i="12"/>
  <c r="J29" i="12"/>
  <c r="K29" i="12"/>
  <c r="E29" i="12" s="1"/>
  <c r="E30" i="12"/>
  <c r="F30" i="12"/>
  <c r="J30" i="12"/>
  <c r="D30" i="12" s="1"/>
  <c r="K30" i="12"/>
  <c r="D31" i="12"/>
  <c r="F31" i="12"/>
  <c r="J31" i="12"/>
  <c r="K31" i="12"/>
  <c r="E31" i="12" s="1"/>
  <c r="E32" i="12"/>
  <c r="F32" i="12"/>
  <c r="J32" i="12"/>
  <c r="D32" i="12" s="1"/>
  <c r="K32" i="12"/>
  <c r="D33" i="12"/>
  <c r="F33" i="12"/>
  <c r="J33" i="12"/>
  <c r="K33" i="12"/>
  <c r="E33" i="12" s="1"/>
  <c r="E34" i="12"/>
  <c r="F34" i="12"/>
  <c r="J34" i="12"/>
  <c r="D34" i="12" s="1"/>
  <c r="K34" i="12"/>
  <c r="D35" i="12"/>
  <c r="F35" i="12"/>
  <c r="J35" i="12"/>
  <c r="K35" i="12"/>
  <c r="E35" i="12" s="1"/>
  <c r="E36" i="12"/>
  <c r="F36" i="12"/>
  <c r="J36" i="12"/>
  <c r="D36" i="12" s="1"/>
  <c r="K36" i="12"/>
  <c r="D37" i="12"/>
  <c r="F37" i="12"/>
  <c r="J37" i="12"/>
  <c r="K37" i="12"/>
  <c r="E37" i="12" s="1"/>
  <c r="E38" i="12"/>
  <c r="F38" i="12"/>
  <c r="J38" i="12"/>
  <c r="D38" i="12" s="1"/>
  <c r="K38" i="12"/>
  <c r="D39" i="12"/>
  <c r="F39" i="12"/>
  <c r="J39" i="12"/>
  <c r="K39" i="12"/>
  <c r="E39" i="12" s="1"/>
  <c r="E40" i="12"/>
  <c r="F40" i="12"/>
  <c r="J40" i="12"/>
  <c r="D40" i="12" s="1"/>
  <c r="K40" i="12"/>
  <c r="D41" i="12"/>
  <c r="F41" i="12"/>
  <c r="J41" i="12"/>
  <c r="K41" i="12"/>
  <c r="E41" i="12" s="1"/>
  <c r="E42" i="12"/>
  <c r="F42" i="12"/>
  <c r="J42" i="12"/>
  <c r="D42" i="12" s="1"/>
  <c r="K42" i="12"/>
  <c r="D43" i="12"/>
  <c r="F43" i="12"/>
  <c r="J43" i="12"/>
  <c r="K43" i="12"/>
  <c r="E43" i="12" s="1"/>
  <c r="E44" i="12"/>
  <c r="F44" i="12"/>
  <c r="J44" i="12"/>
  <c r="D44" i="12" s="1"/>
  <c r="K44" i="12"/>
  <c r="D45" i="12"/>
  <c r="F45" i="12"/>
  <c r="J45" i="12"/>
  <c r="K45" i="12"/>
  <c r="E45" i="12" s="1"/>
  <c r="E46" i="12"/>
  <c r="F46" i="12"/>
  <c r="J46" i="12"/>
  <c r="D46" i="12" s="1"/>
  <c r="K46" i="12"/>
  <c r="D47" i="12"/>
  <c r="F47" i="12"/>
  <c r="J47" i="12"/>
  <c r="K47" i="12"/>
  <c r="E47" i="12" s="1"/>
  <c r="E48" i="12"/>
  <c r="F48" i="12"/>
  <c r="J48" i="12"/>
  <c r="D48" i="12" s="1"/>
  <c r="K48" i="12"/>
  <c r="D49" i="12"/>
  <c r="F49" i="12"/>
  <c r="J49" i="12"/>
  <c r="K49" i="12"/>
  <c r="E49" i="12" s="1"/>
  <c r="E50" i="12"/>
  <c r="F50" i="12"/>
  <c r="J50" i="12"/>
  <c r="D50" i="12" s="1"/>
  <c r="K50" i="12"/>
  <c r="D51" i="12"/>
  <c r="F51" i="12"/>
  <c r="J51" i="12"/>
  <c r="K51" i="12"/>
  <c r="E51" i="12" s="1"/>
  <c r="E52" i="12"/>
  <c r="F52" i="12"/>
  <c r="J52" i="12"/>
  <c r="D52" i="12" s="1"/>
  <c r="K52" i="12"/>
  <c r="D53" i="12"/>
  <c r="F53" i="12"/>
  <c r="J53" i="12"/>
  <c r="K53" i="12"/>
  <c r="E53" i="12" s="1"/>
  <c r="E54" i="12"/>
  <c r="F54" i="12"/>
  <c r="J54" i="12"/>
  <c r="D54" i="12" s="1"/>
  <c r="K54" i="12"/>
  <c r="D55" i="12"/>
  <c r="F55" i="12"/>
  <c r="J55" i="12"/>
  <c r="K55" i="12"/>
  <c r="E55" i="12" s="1"/>
  <c r="E56" i="12"/>
  <c r="F56" i="12"/>
  <c r="J56" i="12"/>
  <c r="D56" i="12" s="1"/>
  <c r="K56" i="12"/>
  <c r="J59" i="12"/>
  <c r="D158" i="3"/>
  <c r="E129" i="3"/>
  <c r="D157" i="3"/>
  <c r="D155" i="3"/>
  <c r="D153" i="3"/>
  <c r="E143" i="3"/>
  <c r="E142" i="3"/>
  <c r="E141" i="3"/>
  <c r="E140" i="3"/>
  <c r="G105" i="3"/>
  <c r="D28" i="12" l="1"/>
  <c r="K27" i="12"/>
  <c r="E27" i="12" s="1"/>
  <c r="G110" i="3"/>
  <c r="G108" i="3"/>
  <c r="G107" i="3"/>
  <c r="F91" i="3"/>
  <c r="F42" i="3"/>
  <c r="H50" i="2" l="1"/>
  <c r="H20" i="2"/>
  <c r="J62" i="12"/>
  <c r="F56" i="2"/>
  <c r="E168" i="3"/>
  <c r="E172" i="3"/>
  <c r="F58" i="2"/>
  <c r="F50" i="2" s="1"/>
  <c r="F47" i="2" s="1"/>
  <c r="J61" i="12"/>
  <c r="D59" i="12"/>
  <c r="D160" i="3"/>
  <c r="L144" i="3"/>
  <c r="E145" i="3"/>
  <c r="E27" i="3" l="1"/>
  <c r="E26" i="3"/>
  <c r="E25" i="3"/>
  <c r="E24" i="3" l="1"/>
  <c r="J63" i="12" l="1"/>
  <c r="D72" i="1"/>
  <c r="D62" i="2"/>
  <c r="D75" i="1"/>
  <c r="D61" i="1"/>
  <c r="D60" i="1" s="1"/>
  <c r="D58" i="1"/>
  <c r="G44" i="1"/>
  <c r="G43" i="1" s="1"/>
  <c r="D67" i="1" l="1"/>
  <c r="G36" i="1"/>
  <c r="D55" i="1" s="1"/>
  <c r="F63" i="12"/>
  <c r="E63" i="12"/>
  <c r="D63" i="12"/>
  <c r="D61" i="12"/>
  <c r="F61" i="12"/>
  <c r="E61" i="12"/>
  <c r="L60" i="12"/>
  <c r="F60" i="12" s="1"/>
  <c r="K60" i="12"/>
  <c r="E60" i="12" s="1"/>
  <c r="J60" i="12"/>
  <c r="D60" i="12" s="1"/>
  <c r="L70" i="12"/>
  <c r="K70" i="12"/>
  <c r="J70" i="12"/>
  <c r="L67" i="12"/>
  <c r="K67" i="12"/>
  <c r="L65" i="12"/>
  <c r="L64" i="12"/>
  <c r="K65" i="12"/>
  <c r="K64" i="12"/>
  <c r="J64" i="12"/>
  <c r="L58" i="12"/>
  <c r="F58" i="12" s="1"/>
  <c r="K58" i="12"/>
  <c r="L57" i="12"/>
  <c r="K57" i="12"/>
  <c r="L56" i="12"/>
  <c r="L55" i="12"/>
  <c r="L54" i="12"/>
  <c r="L53" i="12"/>
  <c r="L52" i="12"/>
  <c r="L51" i="12"/>
  <c r="L50" i="12"/>
  <c r="L49" i="12"/>
  <c r="L48" i="12"/>
  <c r="L47" i="12"/>
  <c r="L45" i="12"/>
  <c r="L46" i="12"/>
  <c r="L44" i="12"/>
  <c r="L43" i="12"/>
  <c r="L42" i="12"/>
  <c r="L41" i="12"/>
  <c r="L40" i="12"/>
  <c r="L39" i="12"/>
  <c r="L38" i="12"/>
  <c r="L37" i="12"/>
  <c r="L36" i="12"/>
  <c r="L35" i="12"/>
  <c r="E57" i="7"/>
  <c r="D155" i="15"/>
  <c r="E141" i="15"/>
  <c r="E56" i="7" s="1"/>
  <c r="F91" i="15" l="1"/>
  <c r="F92" i="15" s="1"/>
  <c r="E78" i="15"/>
  <c r="E40" i="7" s="1"/>
  <c r="E77" i="15"/>
  <c r="E27" i="15"/>
  <c r="G27" i="15" s="1"/>
  <c r="E26" i="15"/>
  <c r="E25" i="15"/>
  <c r="G25" i="15" s="1"/>
  <c r="E24" i="15"/>
  <c r="G24" i="15" s="1"/>
  <c r="D24" i="15" s="1"/>
  <c r="E141" i="14"/>
  <c r="E27" i="14"/>
  <c r="G27" i="14" s="1"/>
  <c r="E26" i="14"/>
  <c r="G26" i="14" s="1"/>
  <c r="D26" i="14" s="1"/>
  <c r="J26" i="14" s="1"/>
  <c r="E25" i="14"/>
  <c r="G25" i="14" s="1"/>
  <c r="E24" i="14"/>
  <c r="G24" i="14" s="1"/>
  <c r="D24" i="14" s="1"/>
  <c r="J24" i="14" s="1"/>
  <c r="E105" i="3"/>
  <c r="G27" i="3"/>
  <c r="G26" i="3"/>
  <c r="G25" i="3"/>
  <c r="G24" i="3"/>
  <c r="D24" i="3" s="1"/>
  <c r="J57" i="12"/>
  <c r="D156" i="5"/>
  <c r="E156" i="5" s="1"/>
  <c r="E155" i="5"/>
  <c r="E154" i="5" s="1"/>
  <c r="D148" i="5"/>
  <c r="E135" i="5"/>
  <c r="G109" i="5"/>
  <c r="D97" i="5"/>
  <c r="C97" i="5"/>
  <c r="E96" i="5"/>
  <c r="E97" i="5" s="1"/>
  <c r="F89" i="5"/>
  <c r="F90" i="5" s="1"/>
  <c r="E78" i="5"/>
  <c r="C54" i="5"/>
  <c r="D54" i="5" s="1"/>
  <c r="D55" i="5" s="1"/>
  <c r="F42" i="5"/>
  <c r="F43" i="5" s="1"/>
  <c r="F35" i="5"/>
  <c r="F36" i="5" s="1"/>
  <c r="J28" i="5"/>
  <c r="R27" i="5" s="1"/>
  <c r="S27" i="5" s="1"/>
  <c r="E167" i="15"/>
  <c r="D166" i="15"/>
  <c r="L165" i="15"/>
  <c r="N165" i="15" s="1"/>
  <c r="D165" i="15"/>
  <c r="D164" i="15"/>
  <c r="E163" i="15"/>
  <c r="D161" i="15"/>
  <c r="G181" i="15"/>
  <c r="G178" i="15"/>
  <c r="E110" i="15"/>
  <c r="L31" i="12" s="1"/>
  <c r="E109" i="15"/>
  <c r="E108" i="15"/>
  <c r="E107" i="15"/>
  <c r="E106" i="15"/>
  <c r="E105" i="15"/>
  <c r="L29" i="12" s="1"/>
  <c r="D99" i="15"/>
  <c r="C99" i="15"/>
  <c r="E98" i="15"/>
  <c r="E99" i="15" s="1"/>
  <c r="L77" i="15"/>
  <c r="E66" i="15"/>
  <c r="F42" i="15"/>
  <c r="F43" i="15" s="1"/>
  <c r="E32" i="7" s="1"/>
  <c r="F35" i="15"/>
  <c r="F36" i="15" s="1"/>
  <c r="P29" i="15"/>
  <c r="P28" i="15"/>
  <c r="M28" i="15"/>
  <c r="L27" i="15"/>
  <c r="F27" i="15"/>
  <c r="D27" i="15" s="1"/>
  <c r="E167" i="14"/>
  <c r="D166" i="14"/>
  <c r="L165" i="14"/>
  <c r="N165" i="14" s="1"/>
  <c r="D165" i="14"/>
  <c r="D164" i="14"/>
  <c r="E163" i="14"/>
  <c r="D162" i="14"/>
  <c r="D161" i="14"/>
  <c r="D155" i="14"/>
  <c r="E57" i="6" s="1"/>
  <c r="E110" i="14"/>
  <c r="E109" i="14"/>
  <c r="E108" i="14"/>
  <c r="E107" i="14"/>
  <c r="E106" i="14"/>
  <c r="E105" i="14"/>
  <c r="D99" i="14"/>
  <c r="C99" i="14"/>
  <c r="E98" i="14"/>
  <c r="E99" i="14" s="1"/>
  <c r="F91" i="14"/>
  <c r="F92" i="14" s="1"/>
  <c r="E78" i="14"/>
  <c r="E40" i="6" s="1"/>
  <c r="L77" i="14"/>
  <c r="E77" i="14"/>
  <c r="E38" i="6" s="1"/>
  <c r="E66" i="14"/>
  <c r="F42" i="14"/>
  <c r="F43" i="14" s="1"/>
  <c r="E32" i="6" s="1"/>
  <c r="F35" i="14"/>
  <c r="F36" i="14" s="1"/>
  <c r="P29" i="14"/>
  <c r="P28" i="14"/>
  <c r="M28" i="14"/>
  <c r="L27" i="14"/>
  <c r="F27" i="14"/>
  <c r="D55" i="7"/>
  <c r="G50" i="7"/>
  <c r="G47" i="7" s="1"/>
  <c r="F50" i="7"/>
  <c r="D48" i="7"/>
  <c r="F47" i="7"/>
  <c r="D46" i="7"/>
  <c r="D44" i="7"/>
  <c r="H43" i="7"/>
  <c r="G43" i="7"/>
  <c r="F43" i="7"/>
  <c r="E43" i="7"/>
  <c r="D43" i="7"/>
  <c r="H42" i="7"/>
  <c r="H37" i="7" s="1"/>
  <c r="E42" i="7"/>
  <c r="D41" i="7"/>
  <c r="G37" i="7"/>
  <c r="F37" i="7"/>
  <c r="D35" i="7"/>
  <c r="H34" i="7"/>
  <c r="G34" i="7"/>
  <c r="F34" i="7"/>
  <c r="E34" i="7"/>
  <c r="D34" i="7"/>
  <c r="H28" i="7"/>
  <c r="G28" i="7"/>
  <c r="D26" i="7"/>
  <c r="D25" i="7"/>
  <c r="D24" i="7"/>
  <c r="D23" i="7"/>
  <c r="D21" i="7"/>
  <c r="H20" i="7"/>
  <c r="D20" i="7"/>
  <c r="D18" i="7"/>
  <c r="I17" i="7"/>
  <c r="H17" i="7"/>
  <c r="E17" i="7"/>
  <c r="D17" i="7"/>
  <c r="D15" i="7"/>
  <c r="H13" i="7"/>
  <c r="H12" i="7" s="1"/>
  <c r="H60" i="7" s="1"/>
  <c r="D13" i="7"/>
  <c r="D12" i="7" s="1"/>
  <c r="G12" i="7"/>
  <c r="F12" i="7"/>
  <c r="E12" i="7"/>
  <c r="D11" i="7"/>
  <c r="D55" i="6"/>
  <c r="G50" i="6"/>
  <c r="G47" i="6" s="1"/>
  <c r="F50" i="6"/>
  <c r="D48" i="6"/>
  <c r="F47" i="6"/>
  <c r="D46" i="6"/>
  <c r="D44" i="6"/>
  <c r="H43" i="6"/>
  <c r="G43" i="6"/>
  <c r="F43" i="6"/>
  <c r="E43" i="6"/>
  <c r="D43" i="6"/>
  <c r="H42" i="6"/>
  <c r="H37" i="6" s="1"/>
  <c r="E42" i="6"/>
  <c r="D41" i="6"/>
  <c r="G37" i="6"/>
  <c r="F37" i="6"/>
  <c r="D35" i="6"/>
  <c r="D34" i="6" s="1"/>
  <c r="H34" i="6"/>
  <c r="G34" i="6"/>
  <c r="F34" i="6"/>
  <c r="E34" i="6"/>
  <c r="F28" i="6"/>
  <c r="H28" i="6"/>
  <c r="G28" i="6"/>
  <c r="D26" i="6"/>
  <c r="D25" i="6"/>
  <c r="D24" i="6"/>
  <c r="D23" i="6"/>
  <c r="D20" i="6" s="1"/>
  <c r="D21" i="6"/>
  <c r="H20" i="6"/>
  <c r="D18" i="6"/>
  <c r="I17" i="6"/>
  <c r="H17" i="6"/>
  <c r="E17" i="6"/>
  <c r="D17" i="6"/>
  <c r="D15" i="6"/>
  <c r="H13" i="6"/>
  <c r="D13" i="6"/>
  <c r="H12" i="6"/>
  <c r="G12" i="6"/>
  <c r="G60" i="6" s="1"/>
  <c r="F12" i="6"/>
  <c r="E12" i="6"/>
  <c r="E60" i="6" s="1"/>
  <c r="D11" i="6"/>
  <c r="E42" i="2"/>
  <c r="E110" i="3"/>
  <c r="E109" i="3"/>
  <c r="E108" i="3"/>
  <c r="E107" i="3"/>
  <c r="E106" i="3"/>
  <c r="G27" i="7" l="1"/>
  <c r="G61" i="7" s="1"/>
  <c r="E80" i="15"/>
  <c r="E38" i="7"/>
  <c r="G185" i="15"/>
  <c r="E58" i="7"/>
  <c r="G189" i="14"/>
  <c r="E59" i="6"/>
  <c r="G178" i="14"/>
  <c r="E56" i="6"/>
  <c r="G27" i="6"/>
  <c r="G61" i="6" s="1"/>
  <c r="G64" i="6" s="1"/>
  <c r="G176" i="14"/>
  <c r="E51" i="6"/>
  <c r="G63" i="7"/>
  <c r="G185" i="14"/>
  <c r="E58" i="6"/>
  <c r="G189" i="15"/>
  <c r="E59" i="7"/>
  <c r="G26" i="15"/>
  <c r="D26" i="15" s="1"/>
  <c r="J26" i="15" s="1"/>
  <c r="G176" i="15"/>
  <c r="L28" i="12"/>
  <c r="E51" i="7"/>
  <c r="F27" i="7"/>
  <c r="M109" i="15"/>
  <c r="L34" i="12"/>
  <c r="M108" i="15"/>
  <c r="L33" i="12"/>
  <c r="M106" i="15"/>
  <c r="L30" i="12"/>
  <c r="M109" i="14"/>
  <c r="M108" i="14"/>
  <c r="M107" i="14"/>
  <c r="M106" i="14"/>
  <c r="E157" i="5"/>
  <c r="D42" i="7"/>
  <c r="J27" i="15"/>
  <c r="G195" i="15"/>
  <c r="D12" i="6"/>
  <c r="E80" i="14"/>
  <c r="F64" i="7"/>
  <c r="F27" i="6"/>
  <c r="F63" i="6" s="1"/>
  <c r="H59" i="6"/>
  <c r="H59" i="7"/>
  <c r="L68" i="12" s="1"/>
  <c r="D42" i="6"/>
  <c r="P27" i="15"/>
  <c r="M110" i="15"/>
  <c r="P24" i="15"/>
  <c r="J24" i="15"/>
  <c r="L164" i="15"/>
  <c r="N164" i="15" s="1"/>
  <c r="M105" i="15"/>
  <c r="D25" i="15"/>
  <c r="L141" i="15"/>
  <c r="L155" i="15"/>
  <c r="G181" i="14"/>
  <c r="L155" i="14"/>
  <c r="M24" i="14"/>
  <c r="N24" i="14" s="1"/>
  <c r="L164" i="14"/>
  <c r="N164" i="14" s="1"/>
  <c r="M105" i="14"/>
  <c r="G111" i="14"/>
  <c r="P24" i="14"/>
  <c r="P26" i="14"/>
  <c r="D25" i="14"/>
  <c r="D27" i="14"/>
  <c r="M110" i="14"/>
  <c r="L141" i="14"/>
  <c r="E60" i="7"/>
  <c r="G60" i="7"/>
  <c r="G64" i="7" s="1"/>
  <c r="F63" i="7"/>
  <c r="F64" i="6"/>
  <c r="H60" i="6"/>
  <c r="G63" i="6" l="1"/>
  <c r="E54" i="6"/>
  <c r="J111" i="14"/>
  <c r="G195" i="14"/>
  <c r="M107" i="15"/>
  <c r="L32" i="12"/>
  <c r="H50" i="6"/>
  <c r="H47" i="6" s="1"/>
  <c r="H27" i="6" s="1"/>
  <c r="H61" i="6" s="1"/>
  <c r="H64" i="6" s="1"/>
  <c r="K68" i="12"/>
  <c r="H50" i="7"/>
  <c r="H47" i="7" s="1"/>
  <c r="H27" i="7" s="1"/>
  <c r="M24" i="15"/>
  <c r="N24" i="15" s="1"/>
  <c r="G111" i="15"/>
  <c r="P26" i="15"/>
  <c r="M26" i="15"/>
  <c r="N26" i="15" s="1"/>
  <c r="J25" i="15"/>
  <c r="M25" i="15" s="1"/>
  <c r="N25" i="15" s="1"/>
  <c r="P25" i="15"/>
  <c r="J25" i="14"/>
  <c r="P25" i="14"/>
  <c r="P27" i="14"/>
  <c r="J27" i="14"/>
  <c r="M26" i="14" s="1"/>
  <c r="N26" i="14" s="1"/>
  <c r="D60" i="7"/>
  <c r="D60" i="6"/>
  <c r="J28" i="15" l="1"/>
  <c r="H63" i="6"/>
  <c r="E54" i="7"/>
  <c r="J111" i="15"/>
  <c r="J68" i="12"/>
  <c r="H61" i="7"/>
  <c r="H63" i="7"/>
  <c r="M25" i="14"/>
  <c r="N25" i="14" s="1"/>
  <c r="J28" i="14"/>
  <c r="E30" i="6" s="1"/>
  <c r="E30" i="7" l="1"/>
  <c r="H64" i="7"/>
  <c r="C54" i="15"/>
  <c r="R27" i="15"/>
  <c r="S27" i="15" s="1"/>
  <c r="L28" i="15"/>
  <c r="C54" i="14"/>
  <c r="R27" i="14"/>
  <c r="S27" i="14" s="1"/>
  <c r="L28" i="14"/>
  <c r="D54" i="15" l="1"/>
  <c r="D53" i="15"/>
  <c r="D50" i="15" s="1"/>
  <c r="D54" i="14"/>
  <c r="D53" i="14"/>
  <c r="F12" i="2"/>
  <c r="F60" i="2" s="1"/>
  <c r="D70" i="12"/>
  <c r="J67" i="12"/>
  <c r="D67" i="12" s="1"/>
  <c r="J65" i="12"/>
  <c r="D65" i="12" s="1"/>
  <c r="D64" i="12"/>
  <c r="J58" i="12"/>
  <c r="D58" i="12" s="1"/>
  <c r="L170" i="3"/>
  <c r="N170" i="3" s="1"/>
  <c r="F67" i="12"/>
  <c r="E67" i="12"/>
  <c r="F64" i="12"/>
  <c r="E64" i="12"/>
  <c r="E58" i="12"/>
  <c r="E17" i="2"/>
  <c r="E66" i="3"/>
  <c r="H42" i="2"/>
  <c r="H37" i="2" s="1"/>
  <c r="F70" i="12"/>
  <c r="E70" i="12"/>
  <c r="F69" i="12"/>
  <c r="E69" i="12"/>
  <c r="D69" i="12"/>
  <c r="F66" i="12"/>
  <c r="E66" i="12"/>
  <c r="D66" i="12"/>
  <c r="F65" i="12"/>
  <c r="E65" i="12"/>
  <c r="F57" i="12"/>
  <c r="E57" i="12"/>
  <c r="D57" i="12"/>
  <c r="L10" i="12"/>
  <c r="D156" i="11"/>
  <c r="E156" i="11" s="1"/>
  <c r="E154" i="11" s="1"/>
  <c r="E157" i="11" s="1"/>
  <c r="E155" i="11"/>
  <c r="D148" i="11"/>
  <c r="E135" i="11"/>
  <c r="G109" i="11"/>
  <c r="D97" i="11"/>
  <c r="C97" i="11"/>
  <c r="E96" i="11"/>
  <c r="E97" i="11" s="1"/>
  <c r="F89" i="11"/>
  <c r="F90" i="11"/>
  <c r="E78" i="11"/>
  <c r="F42" i="11"/>
  <c r="F43" i="11" s="1"/>
  <c r="F35" i="11"/>
  <c r="F36" i="11"/>
  <c r="J28" i="11"/>
  <c r="C54" i="11" s="1"/>
  <c r="D54" i="11" s="1"/>
  <c r="D55" i="11" s="1"/>
  <c r="D156" i="10"/>
  <c r="E156" i="10" s="1"/>
  <c r="E155" i="10"/>
  <c r="D148" i="10"/>
  <c r="E135" i="10"/>
  <c r="G109" i="10"/>
  <c r="D97" i="10"/>
  <c r="C97" i="10"/>
  <c r="E96" i="10"/>
  <c r="E97" i="10"/>
  <c r="F89" i="10"/>
  <c r="F90" i="10" s="1"/>
  <c r="E78" i="10"/>
  <c r="F42" i="10"/>
  <c r="F43" i="10"/>
  <c r="F35" i="10"/>
  <c r="F36" i="10" s="1"/>
  <c r="J28" i="10"/>
  <c r="C54" i="10" s="1"/>
  <c r="D54" i="10" s="1"/>
  <c r="D55" i="10" s="1"/>
  <c r="R27" i="10"/>
  <c r="S27" i="10" s="1"/>
  <c r="L27" i="3"/>
  <c r="D25" i="3"/>
  <c r="D26" i="3"/>
  <c r="L77" i="3"/>
  <c r="D170" i="3"/>
  <c r="D171" i="3"/>
  <c r="D169" i="3"/>
  <c r="D167" i="3"/>
  <c r="D166" i="3"/>
  <c r="F27" i="3"/>
  <c r="P28" i="3"/>
  <c r="P29" i="3"/>
  <c r="F43" i="3"/>
  <c r="D99" i="3"/>
  <c r="C99" i="3"/>
  <c r="E98" i="3"/>
  <c r="E99" i="3" s="1"/>
  <c r="F92" i="3"/>
  <c r="E77" i="3"/>
  <c r="F35" i="3"/>
  <c r="F36" i="3" s="1"/>
  <c r="D11" i="2"/>
  <c r="G12" i="2"/>
  <c r="G60" i="2" s="1"/>
  <c r="H13" i="2"/>
  <c r="D15" i="2"/>
  <c r="D13" i="2"/>
  <c r="H17" i="2"/>
  <c r="I17" i="2"/>
  <c r="D23" i="2"/>
  <c r="D24" i="2"/>
  <c r="D26" i="2"/>
  <c r="F28" i="2"/>
  <c r="G28" i="2"/>
  <c r="H28" i="2"/>
  <c r="E34" i="2"/>
  <c r="F34" i="2"/>
  <c r="G34" i="2"/>
  <c r="H34" i="2"/>
  <c r="D35" i="2"/>
  <c r="D34" i="2" s="1"/>
  <c r="F37" i="2"/>
  <c r="G37" i="2"/>
  <c r="D41" i="2"/>
  <c r="E43" i="2"/>
  <c r="F43" i="2"/>
  <c r="G43" i="2"/>
  <c r="H43" i="2"/>
  <c r="D44" i="2"/>
  <c r="D43" i="2" s="1"/>
  <c r="D46" i="2"/>
  <c r="D48" i="2"/>
  <c r="G50" i="2"/>
  <c r="G47" i="2" s="1"/>
  <c r="G27" i="2" s="1"/>
  <c r="G61" i="2" s="1"/>
  <c r="D55" i="2"/>
  <c r="E59" i="2"/>
  <c r="D21" i="2"/>
  <c r="D20" i="2"/>
  <c r="M28" i="3"/>
  <c r="D18" i="2"/>
  <c r="D17" i="2" s="1"/>
  <c r="E12" i="2"/>
  <c r="E60" i="2" s="1"/>
  <c r="H12" i="2" l="1"/>
  <c r="D50" i="14"/>
  <c r="D49" i="14" s="1"/>
  <c r="E154" i="10"/>
  <c r="E157" i="10" s="1"/>
  <c r="R27" i="11"/>
  <c r="S27" i="11" s="1"/>
  <c r="D42" i="2"/>
  <c r="J186" i="3"/>
  <c r="D49" i="15"/>
  <c r="E53" i="7"/>
  <c r="D53" i="7" s="1"/>
  <c r="E53" i="6"/>
  <c r="D53" i="6" s="1"/>
  <c r="D32" i="7"/>
  <c r="D32" i="6"/>
  <c r="D59" i="6"/>
  <c r="D59" i="7"/>
  <c r="G194" i="3"/>
  <c r="E58" i="2"/>
  <c r="D58" i="2" s="1"/>
  <c r="D58" i="6"/>
  <c r="D58" i="7"/>
  <c r="G190" i="3"/>
  <c r="D57" i="6"/>
  <c r="D57" i="7"/>
  <c r="D56" i="7"/>
  <c r="D56" i="6"/>
  <c r="G183" i="3"/>
  <c r="M105" i="3"/>
  <c r="L169" i="3"/>
  <c r="N169" i="3" s="1"/>
  <c r="D40" i="6"/>
  <c r="D40" i="7"/>
  <c r="E40" i="2"/>
  <c r="D40" i="2" s="1"/>
  <c r="E38" i="2"/>
  <c r="D38" i="2" s="1"/>
  <c r="E80" i="3"/>
  <c r="G186" i="3"/>
  <c r="M110" i="3"/>
  <c r="M109" i="3"/>
  <c r="M108" i="3"/>
  <c r="M107" i="3"/>
  <c r="M106" i="3"/>
  <c r="E56" i="2"/>
  <c r="D56" i="2" s="1"/>
  <c r="L145" i="3"/>
  <c r="E57" i="2"/>
  <c r="D57" i="2" s="1"/>
  <c r="L160" i="3"/>
  <c r="G181" i="3"/>
  <c r="E51" i="2"/>
  <c r="D51" i="2" s="1"/>
  <c r="D27" i="3"/>
  <c r="P27" i="3" s="1"/>
  <c r="F27" i="2"/>
  <c r="F63" i="2" s="1"/>
  <c r="D25" i="2"/>
  <c r="D12" i="2" s="1"/>
  <c r="E68" i="12"/>
  <c r="D68" i="12"/>
  <c r="J25" i="3"/>
  <c r="M25" i="3" s="1"/>
  <c r="N25" i="3" s="1"/>
  <c r="P25" i="3"/>
  <c r="F68" i="12"/>
  <c r="G64" i="2"/>
  <c r="J26" i="3"/>
  <c r="P26" i="3"/>
  <c r="J24" i="3"/>
  <c r="P24" i="3"/>
  <c r="L27" i="12"/>
  <c r="G111" i="3"/>
  <c r="E32" i="2"/>
  <c r="D32" i="2" s="1"/>
  <c r="G63" i="2"/>
  <c r="E53" i="2"/>
  <c r="D55" i="14" l="1"/>
  <c r="H60" i="2"/>
  <c r="D60" i="2" s="1"/>
  <c r="J27" i="3"/>
  <c r="J28" i="3" s="1"/>
  <c r="D37" i="2"/>
  <c r="E37" i="2"/>
  <c r="D55" i="15"/>
  <c r="L171" i="15" s="1"/>
  <c r="L174" i="15" s="1"/>
  <c r="E54" i="2"/>
  <c r="D54" i="2" s="1"/>
  <c r="G182" i="3"/>
  <c r="G197" i="3" s="1"/>
  <c r="D54" i="7"/>
  <c r="D54" i="6"/>
  <c r="D51" i="7"/>
  <c r="D51" i="6"/>
  <c r="D38" i="7"/>
  <c r="D37" i="7" s="1"/>
  <c r="E37" i="7"/>
  <c r="D38" i="6"/>
  <c r="D37" i="6" s="1"/>
  <c r="E37" i="6"/>
  <c r="F61" i="2"/>
  <c r="F64" i="2" s="1"/>
  <c r="D53" i="2"/>
  <c r="K9" i="12"/>
  <c r="E9" i="12" s="1"/>
  <c r="M24" i="3"/>
  <c r="N24" i="3" s="1"/>
  <c r="H47" i="2"/>
  <c r="D59" i="2"/>
  <c r="L9" i="12"/>
  <c r="F9" i="12" s="1"/>
  <c r="L171" i="14" l="1"/>
  <c r="L174" i="14" s="1"/>
  <c r="E33" i="6"/>
  <c r="H27" i="2"/>
  <c r="M26" i="3"/>
  <c r="N26" i="3" s="1"/>
  <c r="L33" i="3"/>
  <c r="J9" i="12"/>
  <c r="D9" i="12" s="1"/>
  <c r="E33" i="7"/>
  <c r="D50" i="7"/>
  <c r="D47" i="7" s="1"/>
  <c r="E50" i="2"/>
  <c r="E47" i="2" s="1"/>
  <c r="E50" i="7"/>
  <c r="E47" i="7" s="1"/>
  <c r="D50" i="6"/>
  <c r="D47" i="6" s="1"/>
  <c r="E50" i="6"/>
  <c r="E47" i="6" s="1"/>
  <c r="D50" i="2"/>
  <c r="D47" i="2" s="1"/>
  <c r="E30" i="2"/>
  <c r="D30" i="2" s="1"/>
  <c r="R27" i="3"/>
  <c r="S27" i="3" s="1"/>
  <c r="L28" i="3"/>
  <c r="C54" i="3"/>
  <c r="H61" i="2" l="1"/>
  <c r="H63" i="2"/>
  <c r="D30" i="7"/>
  <c r="D30" i="6"/>
  <c r="G205" i="3"/>
  <c r="G209" i="3" s="1"/>
  <c r="M19" i="12"/>
  <c r="D53" i="3"/>
  <c r="D50" i="3" s="1"/>
  <c r="D55" i="3" s="1"/>
  <c r="D54" i="3"/>
  <c r="D49" i="3" l="1"/>
  <c r="L176" i="3" l="1"/>
  <c r="L179" i="3" s="1"/>
  <c r="E33" i="2"/>
  <c r="D33" i="6"/>
  <c r="D28" i="6" s="1"/>
  <c r="D27" i="6" s="1"/>
  <c r="D33" i="7"/>
  <c r="D28" i="7" s="1"/>
  <c r="D27" i="7" s="1"/>
  <c r="E28" i="7"/>
  <c r="E27" i="7" s="1"/>
  <c r="E28" i="6" l="1"/>
  <c r="E27" i="6" s="1"/>
  <c r="N17" i="6" s="1"/>
  <c r="D33" i="2"/>
  <c r="D28" i="2" s="1"/>
  <c r="D27" i="2" s="1"/>
  <c r="E28" i="2"/>
  <c r="E27" i="2" s="1"/>
  <c r="E61" i="7"/>
  <c r="E63" i="7"/>
  <c r="N17" i="7"/>
  <c r="E63" i="6" l="1"/>
  <c r="E61" i="6"/>
  <c r="D61" i="6" s="1"/>
  <c r="N17" i="2"/>
  <c r="E63" i="2"/>
  <c r="E61" i="2"/>
  <c r="E64" i="7"/>
  <c r="D61" i="7"/>
  <c r="E64" i="6" l="1"/>
  <c r="D61" i="2"/>
  <c r="E64" i="2"/>
</calcChain>
</file>

<file path=xl/sharedStrings.xml><?xml version="1.0" encoding="utf-8"?>
<sst xmlns="http://schemas.openxmlformats.org/spreadsheetml/2006/main" count="1983" uniqueCount="443">
  <si>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</si>
  <si>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</si>
  <si>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</si>
  <si>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</si>
  <si>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</si>
  <si>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</si>
  <si>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</si>
  <si>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</si>
  <si>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</si>
  <si>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</si>
  <si>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</si>
  <si>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</si>
  <si>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</si>
  <si>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</si>
  <si>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</si>
  <si>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</si>
  <si>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</si>
  <si>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</si>
  <si>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</si>
  <si>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</si>
  <si>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</si>
  <si>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</si>
  <si>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</si>
  <si>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</si>
  <si>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II. Показатели финансового состояния муниципального учреждения (подразделения)</t>
  </si>
  <si>
    <t>(последняя отчетная дата)</t>
  </si>
  <si>
    <t>I. Сведения о деятельности муниципального учреждения (подразделения)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</si>
  <si>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</si>
  <si>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 xml:space="preserve">                                                  УТВЕРЖДАЮ</t>
  </si>
  <si>
    <t xml:space="preserve">                                         (подпись, расшифровка подписи)</t>
  </si>
  <si>
    <t>адрес фактического местонахождения учреждения (подразделения)</t>
  </si>
  <si>
    <t>Коды</t>
  </si>
  <si>
    <t>Дата</t>
  </si>
  <si>
    <t>по ОКПО</t>
  </si>
  <si>
    <t>Управление образования администрации Петропавловск-Камчатского городского округа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</si>
  <si>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</si>
  <si>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</si>
  <si>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</si>
  <si>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</si>
  <si>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Приложение 1</t>
  </si>
  <si>
    <t>Наименование показателя &lt;*&gt;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</si>
  <si>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</si>
  <si>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</si>
  <si>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</si>
  <si>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</si>
  <si>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</si>
  <si>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</si>
  <si>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</si>
  <si>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</si>
  <si>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</si>
  <si>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</si>
  <si>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</si>
  <si>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Поступления от доходов всего:</t>
  </si>
  <si>
    <t>от использования имущества, находящегося в муниципальной собственности и переданного в аренду</t>
  </si>
  <si>
    <t>от оказания услуг (выполнения работ)</t>
  </si>
  <si>
    <t>из них</t>
  </si>
  <si>
    <t>от поступлений субсидий на финансовое обеспечение выполнения муниципального задания</t>
  </si>
  <si>
    <t>от оказания услуг (выполнения работ) на платной основе</t>
  </si>
  <si>
    <t>от образовательной деятельности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</si>
  <si>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</si>
  <si>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</si>
  <si>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</si>
  <si>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</si>
  <si>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</si>
  <si>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выплаты работникам учреждения</t>
  </si>
  <si>
    <t>фонд оплаты труда</t>
  </si>
  <si>
    <t>иные выплаты работникам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</si>
  <si>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</si>
  <si>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</si>
  <si>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</si>
  <si>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</si>
  <si>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</si>
  <si>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</si>
  <si>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</si>
  <si>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</si>
  <si>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>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</si>
  <si>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</si>
  <si>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</si>
  <si>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</si>
  <si>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</si>
  <si>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</si>
  <si>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</si>
  <si>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</si>
  <si>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</si>
  <si>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</si>
  <si>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</si>
  <si>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</si>
  <si>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</si>
  <si>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</si>
  <si>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Выбытие финансовых активов, всего</t>
  </si>
  <si>
    <t>Остаток средств на конец года</t>
  </si>
  <si>
    <t xml:space="preserve">налог на имущество </t>
  </si>
  <si>
    <t>III. Показатели по поступлениям, выплатам муниципального учреждения (подразделения)</t>
  </si>
  <si>
    <t>Таблица 2</t>
  </si>
  <si>
    <t>Таблица 1</t>
  </si>
  <si>
    <t>Год начала закупки</t>
  </si>
  <si>
    <t>Сумма выплат по расходам на закупку товаров, работ и услуг, рублей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</si>
  <si>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</si>
  <si>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</si>
  <si>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</si>
  <si>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</si>
  <si>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</si>
  <si>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</si>
  <si>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Показатели выплат по расходам на закупку товаров, работ, услуг муниципального учреждения (подразделения</t>
  </si>
  <si>
    <t>Таблица 2.1</t>
  </si>
  <si>
    <t>Сумма</t>
  </si>
  <si>
    <t>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</si>
  <si>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</si>
  <si>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</si>
  <si>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</si>
  <si>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>VIII. Сведения о средствах, поступающих во временное распоряжение
муниципального учреждения (подразделения)</t>
  </si>
  <si>
    <t>Таблица 3</t>
  </si>
  <si>
    <t xml:space="preserve">    </t>
  </si>
  <si>
    <t xml:space="preserve">                                                            </t>
  </si>
  <si>
    <t>М.П.</t>
  </si>
  <si>
    <t xml:space="preserve">Исполнитель                </t>
  </si>
  <si>
    <t xml:space="preserve"> (подпись)                      (расшифровка подписи)</t>
  </si>
  <si>
    <t>(подпись)                    (расшифровка подписи)</t>
  </si>
  <si>
    <t xml:space="preserve">                                   </t>
  </si>
  <si>
    <t>Приложение 2</t>
  </si>
  <si>
    <r>
      <t xml:space="preserve">к Порядку </t>
    </r>
    <r>
      <rPr>
        <sz val="13"/>
        <color indexed="8"/>
        <rFont val="Times New Roman"/>
        <family val="1"/>
        <charset val="204"/>
      </rPr>
      <t>составления и утверждения</t>
    </r>
  </si>
  <si>
    <t xml:space="preserve"> плана финансово-хозяйственной</t>
  </si>
  <si>
    <t xml:space="preserve"> деятельности муниципальных бюджетных</t>
  </si>
  <si>
    <t xml:space="preserve"> и автономных учреждений, находящихся</t>
  </si>
  <si>
    <t xml:space="preserve"> в ведении Управления образования</t>
  </si>
  <si>
    <t xml:space="preserve"> администрации Петропавловск-Камчатского</t>
  </si>
  <si>
    <t xml:space="preserve"> городского округа</t>
  </si>
  <si>
    <t>1. Расчеты (обоснования) выплат персоналу (строка 015)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</si>
  <si>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</si>
  <si>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</si>
  <si>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</si>
  <si>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</si>
  <si>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</si>
  <si>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</si>
  <si>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 xml:space="preserve"> x (1 + </t>
    </r>
    <r>
      <rPr>
        <sz val="14"/>
        <color indexed="12"/>
        <rFont val="Times New Roman"/>
        <family val="1"/>
        <charset val="204"/>
      </rPr>
      <t>гр. 8</t>
    </r>
    <r>
      <rPr>
        <sz val="14"/>
        <color indexed="8"/>
        <rFont val="Times New Roman"/>
        <family val="1"/>
        <charset val="204"/>
      </rPr>
      <t xml:space="preserve"> / 100) x </t>
    </r>
    <r>
      <rPr>
        <sz val="14"/>
        <color indexed="12"/>
        <rFont val="Times New Roman"/>
        <family val="1"/>
        <charset val="204"/>
      </rPr>
      <t>гр. 9</t>
    </r>
    <r>
      <rPr>
        <sz val="14"/>
        <color indexed="8"/>
        <rFont val="Times New Roman"/>
        <family val="1"/>
        <charset val="204"/>
      </rPr>
      <t xml:space="preserve"> x 12)</t>
    </r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</si>
  <si>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</si>
  <si>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</si>
  <si>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</si>
  <si>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</si>
  <si>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</si>
  <si>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</si>
  <si>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</si>
  <si>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</si>
  <si>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</si>
  <si>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</si>
  <si>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5</t>
    </r>
    <r>
      <rPr>
        <sz val="14"/>
        <color indexed="8"/>
        <rFont val="Times New Roman"/>
        <family val="1"/>
        <charset val="204"/>
      </rPr>
      <t>)</t>
    </r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</si>
  <si>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</si>
  <si>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</si>
  <si>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</si>
  <si>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</si>
  <si>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</si>
  <si>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</si>
  <si>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</si>
  <si>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</si>
  <si>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</si>
  <si>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</si>
  <si>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</si>
  <si>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</si>
  <si>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</si>
  <si>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</si>
  <si>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выплат в год</t>
  </si>
  <si>
    <r>
      <t>Общая сумма выплат, руб. (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>)</t>
    </r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</si>
  <si>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</si>
  <si>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</si>
  <si>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 xml:space="preserve"> / 100)</t>
    </r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</si>
  <si>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</si>
  <si>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</si>
  <si>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</si>
  <si>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</si>
  <si>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</si>
  <si>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</si>
  <si>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</si>
  <si>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r>
      <t>Сумма, руб. (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>)</t>
    </r>
  </si>
  <si>
    <t>6.3. Расчет (обоснование) расходов на оплату коммунальных услуг</t>
  </si>
  <si>
    <t>Тариф (с учетом НДС), руб.</t>
  </si>
  <si>
    <t>Индексация, 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</si>
  <si>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</si>
  <si>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</si>
  <si>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</si>
  <si>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</si>
  <si>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</si>
  <si>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</si>
  <si>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</si>
  <si>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</si>
  <si>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</si>
  <si>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</si>
  <si>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Средняя стоимость, руб.</t>
  </si>
  <si>
    <r>
      <t>Сумма, руб. (</t>
    </r>
    <r>
      <rPr>
        <sz val="14"/>
        <color indexed="12"/>
        <rFont val="Times New Roman"/>
        <family val="1"/>
        <charset val="204"/>
      </rPr>
      <t>гр. 2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3</t>
    </r>
    <r>
      <rPr>
        <sz val="14"/>
        <color indexed="8"/>
        <rFont val="Times New Roman"/>
        <family val="1"/>
        <charset val="204"/>
      </rPr>
      <t>)</t>
    </r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</si>
  <si>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</si>
  <si>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</si>
  <si>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</si>
  <si>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</si>
  <si>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 _____________________________________________</t>
  </si>
  <si>
    <t>Источник финансового обеспечения______________________________</t>
  </si>
  <si>
    <t>3. Расчет (обоснование) расходов на уплату налогов, сборов и иных платежей</t>
  </si>
  <si>
    <t>6.5. Расчет (обоснование) расходов на оплату работ, услуг по содержанию имущества</t>
  </si>
  <si>
    <t>Приложение 3</t>
  </si>
  <si>
    <t>УТВЕРЖДАЮ</t>
  </si>
  <si>
    <t>(наименование учреждения)</t>
  </si>
  <si>
    <t>________________________ ___________________</t>
  </si>
  <si>
    <t xml:space="preserve">                      (подпись)                                     (расшифровка  подписи)</t>
  </si>
  <si>
    <t xml:space="preserve">                                      "_____" ____________ 20__ г.</t>
  </si>
  <si>
    <t>СВЕДЕНИЯ</t>
  </si>
  <si>
    <t>ОБ ОПЕРАЦИЯХ С ЦЕЛЕВЫМИ СУБСИДИЯМИ, ПРЕДОСТАВЛЕННЫМИ</t>
  </si>
  <si>
    <t>МУНИЦИПАЛЬНОМУ УЧРЕЖДЕНИЮ НА 20__ Г.</t>
  </si>
  <si>
    <t>КОДЫ</t>
  </si>
  <si>
    <t>Форма по ОКУД</t>
  </si>
  <si>
    <t>Дата  предоставления предыдущих Сведений</t>
  </si>
  <si>
    <t>по ОКТМО</t>
  </si>
  <si>
    <t>Глава по БК</t>
  </si>
  <si>
    <t>по ОКЕИ</t>
  </si>
  <si>
    <t>по ОКВ</t>
  </si>
  <si>
    <t>от "___" ____________ 20___ г.</t>
  </si>
  <si>
    <t>Муниципальное учреждение (подразделение)</t>
  </si>
  <si>
    <t>_________________________</t>
  </si>
  <si>
    <t>ИНН/КПП</t>
  </si>
  <si>
    <t>Наименование бюджета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</si>
  <si>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</si>
  <si>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</si>
  <si>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</si>
  <si>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</si>
  <si>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 xml:space="preserve">Остаток средств на начало года     </t>
  </si>
  <si>
    <t xml:space="preserve">       </t>
  </si>
  <si>
    <t xml:space="preserve">    (наименование должности лица,  утверждающего документ)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</si>
  <si>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</si>
  <si>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</si>
  <si>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</si>
  <si>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</si>
  <si>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</si>
  <si>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</si>
  <si>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</si>
  <si>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</si>
  <si>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</si>
  <si>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</si>
  <si>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 xml:space="preserve">ОТМЕТКА ОРГАНА, ОСУЩЕСТВЛЯЮЩЕГО ВЕДЕНИЕ ЛИЦЕВОГО СЧЕТА, О ПРИНЯТИИ НАСТОЯЩИХ СВЕДЕНИЙ             </t>
  </si>
  <si>
    <t xml:space="preserve">Номер страницы </t>
  </si>
  <si>
    <t>_______________</t>
  </si>
  <si>
    <t xml:space="preserve">Всего страниц </t>
  </si>
  <si>
    <t>Руководитель</t>
  </si>
  <si>
    <t>___________________                       _______________________</t>
  </si>
  <si>
    <r>
      <t xml:space="preserve">  </t>
    </r>
    <r>
      <rPr>
        <sz val="10"/>
        <color indexed="8"/>
        <rFont val="Times New Roman"/>
        <family val="1"/>
        <charset val="204"/>
      </rPr>
      <t>(подпись)                                                      (расшифровка подписи)</t>
    </r>
  </si>
  <si>
    <t xml:space="preserve">             </t>
  </si>
  <si>
    <t>Главный бухгалтер</t>
  </si>
  <si>
    <t xml:space="preserve">     Ответственный исполнитель                                    </t>
  </si>
  <si>
    <t>___________________</t>
  </si>
  <si>
    <t>___________          ____________          ____________          ___________</t>
  </si>
  <si>
    <t xml:space="preserve">     (должность)                   (подпись)                       (расшифровка подписи) (телефон)</t>
  </si>
  <si>
    <t xml:space="preserve"> (должность)              (подпись)             (расшифровка подписи) (телефон)</t>
  </si>
  <si>
    <t>"_____"__________20___г.</t>
  </si>
  <si>
    <t>(должность лица, утверждающего документ)</t>
  </si>
  <si>
    <t>наименование учреждения (подразделения)</t>
  </si>
  <si>
    <t xml:space="preserve">  МП </t>
  </si>
  <si>
    <t>001</t>
  </si>
  <si>
    <t>002</t>
  </si>
  <si>
    <t>003</t>
  </si>
  <si>
    <t>004</t>
  </si>
  <si>
    <t>005</t>
  </si>
  <si>
    <t>006</t>
  </si>
  <si>
    <t xml:space="preserve"> строка  001  остатки на начало года  201.11 гр. 4-9</t>
  </si>
  <si>
    <t>в том числе: от собственности</t>
  </si>
  <si>
    <t>в графе 3 по 003-013, 039-041 указыв. Коды классификации операций сектора стр. 015-038 виды расхода</t>
  </si>
  <si>
    <t xml:space="preserve"> по строке 005 в гр 9  указывается гранты</t>
  </si>
  <si>
    <t>007</t>
  </si>
  <si>
    <t>009</t>
  </si>
  <si>
    <t>010</t>
  </si>
  <si>
    <t>011</t>
  </si>
  <si>
    <t>012</t>
  </si>
  <si>
    <t>ст 015-038 указыв. Расходы по источникам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</si>
  <si>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</si>
  <si>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</si>
  <si>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</si>
  <si>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</si>
  <si>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</si>
  <si>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</si>
  <si>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</si>
  <si>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</si>
  <si>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</si>
  <si>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</si>
  <si>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</si>
  <si>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</si>
  <si>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</si>
  <si>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</si>
  <si>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</si>
  <si>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</si>
  <si>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</si>
  <si>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</si>
  <si>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</si>
  <si>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</si>
  <si>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</si>
  <si>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</si>
  <si>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</si>
  <si>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</si>
  <si>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</si>
  <si>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</si>
  <si>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</si>
  <si>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</si>
  <si>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</si>
  <si>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0001</t>
  </si>
  <si>
    <t>стр. 0001 = гр.029</t>
  </si>
  <si>
    <t xml:space="preserve">текущие </t>
  </si>
  <si>
    <t>1.4. Общая балансовая стоимость недвижимого муниципального имущества на дату составления Плана,тысяч рублей:</t>
  </si>
  <si>
    <t>Стоимость имущества,закрепленного за учреждением на праве оперативного управления</t>
  </si>
  <si>
    <t>в том числе сдаваемого в аренду</t>
  </si>
  <si>
    <t>Стоимость имущества,приобретенное за счет выделенных собственником имущества учреждения средств</t>
  </si>
  <si>
    <t>Стоимость имущества, приобретенного  учреждением за счет доходов,полученных от платной и иной приносящей доход деятельности</t>
  </si>
  <si>
    <t>1.5 Общая балансовая стоимость движимого муниципального имущества на дату составления Плана,тысяч рублей:</t>
  </si>
  <si>
    <t>Балансовая стоимость движимого имущества,приобретенного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</si>
  <si>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</si>
  <si>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 xml:space="preserve">Заместитель главного бухгалтера  муниципального  учреждения (подразделения)  </t>
  </si>
  <si>
    <t xml:space="preserve">Налог на имущество </t>
  </si>
  <si>
    <t>Земельный налог</t>
  </si>
  <si>
    <t>Источник финансового обеспечения:  субсидии на выполнение муниципального задания</t>
  </si>
  <si>
    <r>
      <t xml:space="preserve">Код видов расходов </t>
    </r>
    <r>
      <rPr>
        <u/>
        <sz val="14"/>
        <color indexed="8"/>
        <rFont val="Times New Roman"/>
        <family val="1"/>
        <charset val="204"/>
      </rPr>
      <t>851</t>
    </r>
  </si>
  <si>
    <t>Абонентская плата за телефон</t>
  </si>
  <si>
    <t>Теплоэнергия</t>
  </si>
  <si>
    <t>Тепло для ГВС</t>
  </si>
  <si>
    <t>Электроэнергия</t>
  </si>
  <si>
    <t>Холодное водоснабжение</t>
  </si>
  <si>
    <t>Водоотведение</t>
  </si>
  <si>
    <t>Холодное водоснабжение для ГВС</t>
  </si>
  <si>
    <t>Пособие по уходу за ребенком до 3-х лет</t>
  </si>
  <si>
    <t>Вывоз ТБО</t>
  </si>
  <si>
    <t>Обслуживание ТСО</t>
  </si>
  <si>
    <t>Обслуживание УУТЭ</t>
  </si>
  <si>
    <t>ТО Пожарной сигнализации</t>
  </si>
  <si>
    <t xml:space="preserve">Дератизация </t>
  </si>
  <si>
    <t>Мониторинг работоспособности сетей передачи данных</t>
  </si>
  <si>
    <t>Снегоочистка</t>
  </si>
  <si>
    <t>ТО противопожарных дверей</t>
  </si>
  <si>
    <t>Противопожарные мероприятия</t>
  </si>
  <si>
    <t>Гидравлические испытания трубопровода</t>
  </si>
  <si>
    <t>Охрана имущества</t>
  </si>
  <si>
    <t>Обновление Гаранта</t>
  </si>
  <si>
    <t>Обслуживание программного обеспечения</t>
  </si>
  <si>
    <t>Медицинский осмотр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</si>
  <si>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</si>
  <si>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</si>
  <si>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</si>
  <si>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</si>
  <si>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Приобретение основных средств</t>
  </si>
  <si>
    <t>Приобретение материальных запасов</t>
  </si>
  <si>
    <t>Приобретение основных средств на учебный процесс ( развивающие игры и игрушки)</t>
  </si>
  <si>
    <r>
      <t xml:space="preserve">Код видов расходов </t>
    </r>
    <r>
      <rPr>
        <u/>
        <sz val="14"/>
        <color indexed="8"/>
        <rFont val="Times New Roman"/>
        <family val="1"/>
        <charset val="204"/>
      </rPr>
      <t>111, 112, 119</t>
    </r>
  </si>
  <si>
    <r>
      <t xml:space="preserve">Источник финансового обеспечения:  </t>
    </r>
    <r>
      <rPr>
        <u/>
        <sz val="14"/>
        <color indexed="8"/>
        <rFont val="Times New Roman"/>
        <family val="1"/>
        <charset val="204"/>
      </rPr>
      <t>субсидии на выполнение муниципального задания</t>
    </r>
  </si>
  <si>
    <r>
      <t xml:space="preserve">Код видов расходов </t>
    </r>
    <r>
      <rPr>
        <u/>
        <sz val="14"/>
        <color indexed="8"/>
        <rFont val="Times New Roman"/>
        <family val="1"/>
        <charset val="204"/>
      </rPr>
      <t>244</t>
    </r>
  </si>
  <si>
    <t>Объем потребления ресурсов</t>
  </si>
  <si>
    <t>Аварийный , текущий ремонт</t>
  </si>
  <si>
    <t>Итого  оснвных средств:</t>
  </si>
  <si>
    <t>Итого материальных запасов</t>
  </si>
  <si>
    <t>Единица измерения</t>
  </si>
  <si>
    <t>Гкал</t>
  </si>
  <si>
    <r>
      <t>Сумма, руб. (</t>
    </r>
    <r>
      <rPr>
        <sz val="14"/>
        <color indexed="12"/>
        <rFont val="Times New Roman"/>
        <family val="1"/>
        <charset val="204"/>
      </rPr>
      <t>гр. 4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5</t>
    </r>
    <r>
      <rPr>
        <sz val="14"/>
        <color indexed="8"/>
        <rFont val="Times New Roman"/>
        <family val="1"/>
        <charset val="204"/>
      </rPr>
      <t xml:space="preserve"> x </t>
    </r>
    <r>
      <rPr>
        <sz val="14"/>
        <color indexed="12"/>
        <rFont val="Times New Roman"/>
        <family val="1"/>
        <charset val="204"/>
      </rPr>
      <t>гр. 6</t>
    </r>
    <r>
      <rPr>
        <sz val="14"/>
        <color indexed="8"/>
        <rFont val="Times New Roman"/>
        <family val="1"/>
        <charset val="204"/>
      </rPr>
      <t>)</t>
    </r>
  </si>
  <si>
    <t>кВт</t>
  </si>
  <si>
    <t>м3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</si>
  <si>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</si>
  <si>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</si>
  <si>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транспортных услуг</t>
  </si>
  <si>
    <t>4.3. Расчет (обоснование) расходов на оплату коммунальных услуг</t>
  </si>
  <si>
    <t>4.4. Расчет (обоснование) расходов на оплату аренды имущества</t>
  </si>
  <si>
    <t>4.5. Расчет (обоснование) расходов на оплату работ, услуг по содержанию имущества</t>
  </si>
  <si>
    <t>4.6. Расчет (обоснование) расходов на оплату прочих работ, услуг</t>
  </si>
  <si>
    <t>4.7. Расчет (обоснование) расходов на приобретение основных средств, материальных запасов</t>
  </si>
  <si>
    <t>1. Расчет (обоснование) расходов на закупку товаров, работ, услуг</t>
  </si>
  <si>
    <t>Источник финансового обеспечения: Приносящая доход деятельность</t>
  </si>
  <si>
    <t>1.1. Расчет (обоснование) расходов на приобретение основных средств, материальных запасов</t>
  </si>
  <si>
    <t>Количество д/дни</t>
  </si>
  <si>
    <r>
      <t>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</si>
  <si>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в т.ч. продукты питания 100% оплата</t>
  </si>
  <si>
    <t>продукты питания, 50% оплата</t>
  </si>
  <si>
    <t>Поверка</t>
  </si>
  <si>
    <t>Обучение</t>
  </si>
  <si>
    <t>Прочие услуги</t>
  </si>
  <si>
    <t>Приобритение продуктов питания</t>
  </si>
  <si>
    <t>кВт/ч</t>
  </si>
  <si>
    <t>к Порядку составления и утверждения плана финансово-хозяйственной  деятельности муниципальных бюджетных  и автономных учреждений, находящихся  в ведении Управления образования  администрации Петропавловск-Камчатского  городского округа</t>
  </si>
  <si>
    <t>1.1. Цели деятельности учреждения (подразделения): воспитание личности, социально адаптированной к условиям жизни в современном обществе, обучение, присмотр, уход и оздоровление детей; формирование и развитие личности, способной к субъективной интеграции в социум на основе развития умственных и физических способностей каждого обучающегося; создание условия для творческой деятельности обучающихся в области образовательных дисциплин</t>
  </si>
  <si>
    <t>1.2. Основные виды деятельности муниципального учреждения (подразделения): дошкольная образовательная деятельность; реализация дополнительных образовательных программ и оказание дополнительных образовательных услуг</t>
  </si>
  <si>
    <t>Обслуживание орг. техники</t>
  </si>
  <si>
    <t>Фонд капитально ремонта</t>
  </si>
  <si>
    <t>Прочие услуги по содержанию имущества</t>
  </si>
  <si>
    <t>Сопровождение процедур закупки</t>
  </si>
  <si>
    <t>Муниципальное автономное дошкольное образовательное учреждение "Детский сад № 7 комбинированного вида"</t>
  </si>
  <si>
    <t>г. Петропавловск-Камчатский, ул. Карбышева д.2/1</t>
  </si>
  <si>
    <t>Расчеты (обоснования) к плану финансово-хозяйственной деятельности муниципального учреждения на 2018 год</t>
  </si>
  <si>
    <t>Расчеты (обоснования) к плану финансово-хозяйственной деятельности муниципального учреждения на 2019 год</t>
  </si>
  <si>
    <t>Услуги связи</t>
  </si>
  <si>
    <t>Хлодное водоснабжение</t>
  </si>
  <si>
    <t>Обслуживание узла учета тепловой энергии</t>
  </si>
  <si>
    <t>Техническое обслуживание пожарной сигнализации</t>
  </si>
  <si>
    <t>Дератизация и дезинсекция</t>
  </si>
  <si>
    <t>Техническое обслуживание противопожарных дверей</t>
  </si>
  <si>
    <t>Программное обеспечение (обновление гаранта)</t>
  </si>
  <si>
    <t>Продукты питания</t>
  </si>
  <si>
    <t>Поверка приборов</t>
  </si>
  <si>
    <t>Подписка</t>
  </si>
  <si>
    <t>Медицинский осмотр сотрудников</t>
  </si>
  <si>
    <t>Сопровождение процедур закупок</t>
  </si>
  <si>
    <t>Программное обеспечение</t>
  </si>
  <si>
    <t>Приобретение мебели</t>
  </si>
  <si>
    <t>Приобретение материальных запасов (продукты питания)</t>
  </si>
  <si>
    <t>Приобретение материальных запасов (хозяйственные средства, строительные материалы, мягкий инвентарь, посуда, моющие средства)</t>
  </si>
  <si>
    <t>Программное обеспечение (приобретение, обновление)</t>
  </si>
  <si>
    <t>Пособия по социальной помощи населению</t>
  </si>
  <si>
    <t>х</t>
  </si>
  <si>
    <t>Код видов расходов 112, 119</t>
  </si>
  <si>
    <t xml:space="preserve">Приобретение основных средств </t>
  </si>
  <si>
    <t>на 2018г. и плановый период 2019г. и 2020г.</t>
  </si>
  <si>
    <t>на  2018 г.</t>
  </si>
  <si>
    <t>Приобретение материальных запасов на учебный процесс (убвенция)</t>
  </si>
  <si>
    <t>Штрафы</t>
  </si>
  <si>
    <t>Обслуживание оргтехники</t>
  </si>
  <si>
    <t>Приобретение продуктов питания</t>
  </si>
  <si>
    <t>Приобретение материальных запасов на учебный процесс ( Субвенция)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</si>
  <si>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</si>
  <si>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</si>
  <si>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</si>
  <si>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на  2020 г.</t>
  </si>
  <si>
    <t>на  2018 г. и плановый период 2019г.и 2020г.</t>
  </si>
  <si>
    <t>Возвраты по предписанию КСП</t>
  </si>
  <si>
    <t>Техническое обслуживание эл.сетей</t>
  </si>
  <si>
    <t>Исполнитель: Куприц О.С.</t>
  </si>
  <si>
    <t>Техническое обслуживание системы вентиляции</t>
  </si>
  <si>
    <t>Приобретение технологического оборудования (шкафы сушильные)</t>
  </si>
  <si>
    <t xml:space="preserve">План финансово-хозяйственной деятельности </t>
  </si>
  <si>
    <t>на  2019 г.</t>
  </si>
  <si>
    <t>______________/  Куприц О.С.</t>
  </si>
  <si>
    <t>Куприц О.С.</t>
  </si>
  <si>
    <t>Тел. 235-000 (2663)</t>
  </si>
  <si>
    <t>тел. 235-000 (2663)</t>
  </si>
  <si>
    <t>Расчеты (обоснования) к плану финансово-хозяйственной деятельности муниципального учреждения на 2020 год</t>
  </si>
  <si>
    <t>Расчеты (обоснования) к проекту плана финансово-хозяйственной деятельности муниципального учреждения на 2018 год</t>
  </si>
  <si>
    <t>на 2018 г.</t>
  </si>
  <si>
    <t xml:space="preserve">на 01.01.2018г. </t>
  </si>
  <si>
    <t>Обслуживание сайта</t>
  </si>
  <si>
    <t>Текущий ремонт ( ремонт крыши, разработка ПСД установка погодного регулирования)</t>
  </si>
  <si>
    <t>Заведующий муниципального автономного дошкольного образовательного учреждения "Детский сад № 7 комбинированного  вида"</t>
  </si>
  <si>
    <t>Шляхтина С.В.</t>
  </si>
  <si>
    <t>Приобретение материалов (для укладки линолиума в музыкальном зале)</t>
  </si>
  <si>
    <r>
      <t xml:space="preserve">Код видов расходов </t>
    </r>
    <r>
      <rPr>
        <u/>
        <sz val="14"/>
        <color indexed="8"/>
        <rFont val="Times New Roman"/>
        <family val="1"/>
        <charset val="204"/>
      </rPr>
      <t>851,853</t>
    </r>
  </si>
  <si>
    <t>Обслуживание орг. Техники и заправка картриджа</t>
  </si>
  <si>
    <t xml:space="preserve"> </t>
  </si>
  <si>
    <t xml:space="preserve">          "29"декабря 2018 г. (дата составления)</t>
  </si>
  <si>
    <t xml:space="preserve">                                          "09"января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</si>
</sst>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00"/>
    <numFmt numFmtId="166" formatCode="#,##0.00000"/>
    <numFmt numFmtId="167" formatCode="#,##0.0000000000000000"/>
    <numFmt numFmtId="168" formatCode="0.00000000000000"/>
    <numFmt numFmtId="169" formatCode="0.00000000000000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360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justify" vertical="center"/>
    </xf>
    <xf numFmtId="0" fontId="15" fillId="0" borderId="6" xfId="0" applyFont="1" applyBorder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5" fillId="0" borderId="0" xfId="0" applyFont="1" applyBorder="1"/>
    <xf numFmtId="0" fontId="15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 inden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49" fontId="13" fillId="0" borderId="0" xfId="0" applyNumberFormat="1" applyFont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4" fontId="15" fillId="2" borderId="0" xfId="0" applyNumberFormat="1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4" fontId="17" fillId="2" borderId="0" xfId="0" applyNumberFormat="1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2"/>
    </xf>
    <xf numFmtId="0" fontId="13" fillId="2" borderId="2" xfId="0" applyFont="1" applyFill="1" applyBorder="1" applyAlignment="1">
      <alignment horizontal="left" vertical="center" wrapText="1" indent="2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2" fillId="0" borderId="0" xfId="0" applyFont="1"/>
    <xf numFmtId="166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left" vertical="center" wrapText="1" indent="4"/>
    </xf>
    <xf numFmtId="0" fontId="13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2" fontId="0" fillId="2" borderId="0" xfId="0" applyNumberFormat="1" applyFill="1"/>
    <xf numFmtId="0" fontId="13" fillId="2" borderId="0" xfId="0" applyFont="1" applyFill="1" applyAlignment="1">
      <alignment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" fontId="12" fillId="4" borderId="0" xfId="0" applyNumberFormat="1" applyFont="1" applyFill="1"/>
    <xf numFmtId="0" fontId="18" fillId="2" borderId="3" xfId="0" applyFont="1" applyFill="1" applyBorder="1" applyAlignment="1">
      <alignment horizontal="right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164" fontId="13" fillId="2" borderId="3" xfId="2" applyFont="1" applyFill="1" applyBorder="1" applyAlignment="1">
      <alignment horizontal="center" vertical="center" wrapText="1"/>
    </xf>
    <xf numFmtId="164" fontId="18" fillId="2" borderId="3" xfId="2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justify"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0" fontId="13" fillId="2" borderId="3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/>
    <xf numFmtId="0" fontId="18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justify" vertical="center" wrapText="1"/>
    </xf>
    <xf numFmtId="4" fontId="18" fillId="2" borderId="3" xfId="0" applyNumberFormat="1" applyFont="1" applyFill="1" applyBorder="1" applyAlignment="1">
      <alignment vertical="center" wrapText="1"/>
    </xf>
    <xf numFmtId="166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164" fontId="13" fillId="2" borderId="3" xfId="2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 indent="1"/>
    </xf>
    <xf numFmtId="0" fontId="18" fillId="2" borderId="14" xfId="0" applyFont="1" applyFill="1" applyBorder="1" applyAlignment="1">
      <alignment horizontal="left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167" fontId="0" fillId="2" borderId="0" xfId="0" applyNumberFormat="1" applyFill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 wrapText="1"/>
    </xf>
    <xf numFmtId="4" fontId="22" fillId="5" borderId="0" xfId="0" applyNumberFormat="1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0" fillId="2" borderId="0" xfId="0" applyNumberFormat="1" applyFill="1"/>
    <xf numFmtId="169" fontId="0" fillId="2" borderId="0" xfId="0" applyNumberFormat="1" applyFill="1"/>
    <xf numFmtId="4" fontId="9" fillId="2" borderId="6" xfId="2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13" fillId="2" borderId="3" xfId="2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164" fontId="0" fillId="0" borderId="0" xfId="0" applyNumberFormat="1"/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" fontId="13" fillId="7" borderId="3" xfId="0" applyNumberFormat="1" applyFont="1" applyFill="1" applyBorder="1" applyAlignment="1">
      <alignment horizontal="center" vertical="center" wrapText="1"/>
    </xf>
    <xf numFmtId="0" fontId="13" fillId="7" borderId="3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2" fillId="2" borderId="0" xfId="0" applyFont="1" applyFill="1"/>
    <xf numFmtId="1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25" fillId="0" borderId="18" xfId="0" applyFont="1" applyBorder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wrapText="1"/>
    </xf>
    <xf numFmtId="0" fontId="13" fillId="0" borderId="0" xfId="0" applyFont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26" fillId="0" borderId="0" xfId="1" applyFont="1" applyBorder="1" applyAlignment="1">
      <alignment horizontal="right" vertical="center" wrapText="1"/>
    </xf>
    <xf numFmtId="0" fontId="26" fillId="0" borderId="4" xfId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1" fillId="0" borderId="10" xfId="1" applyBorder="1" applyAlignment="1">
      <alignment horizontal="center" vertical="center" wrapText="1"/>
    </xf>
    <xf numFmtId="0" fontId="11" fillId="0" borderId="5" xfId="1" applyBorder="1" applyAlignment="1">
      <alignment horizontal="center" vertical="center" wrapText="1"/>
    </xf>
    <xf numFmtId="0" fontId="11" fillId="0" borderId="2" xfId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0" xfId="1" applyFill="1" applyBorder="1" applyAlignment="1">
      <alignment horizontal="center" vertical="center" wrapText="1"/>
    </xf>
    <xf numFmtId="0" fontId="11" fillId="0" borderId="2" xfId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8" xfId="1" applyBorder="1" applyAlignment="1">
      <alignment horizontal="center" vertical="center" wrapText="1"/>
    </xf>
    <xf numFmtId="0" fontId="11" fillId="0" borderId="20" xfId="1" applyBorder="1" applyAlignment="1">
      <alignment horizontal="center" vertical="center" wrapText="1"/>
    </xf>
    <xf numFmtId="0" fontId="11" fillId="0" borderId="9" xfId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3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8" fillId="2" borderId="8" xfId="0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right" vertic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tina/Desktop/&#1055;&#1060;&#1061;&#1044;%20&#1085;&#1072;%202017&#1075;.%20%20&#1089;&#1086;&#1096;%2017%2015.0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аздел 3 2017г."/>
      <sheetName val="Раздел 3 2018."/>
      <sheetName val="Раздел 3 2019"/>
      <sheetName val="Раздел 4"/>
      <sheetName val="Раздел 5 подпись"/>
      <sheetName val="Раздел II обоснование 2017"/>
      <sheetName val="Раздел II обоснование 2018"/>
      <sheetName val="Раздел II обоснование 2019"/>
      <sheetName val="Раздел II обоснование  ПДД"/>
      <sheetName val="Раздел II обоснование  ПДД 2018"/>
      <sheetName val="Раздел II обоснование  ПДД2019"/>
      <sheetName val="Сведения по иным"/>
    </sheetNames>
    <sheetDataSet>
      <sheetData sheetId="0" refreshError="1"/>
      <sheetData sheetId="1" refreshError="1">
        <row r="47">
          <cell r="D47">
            <v>15089691.68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consultantplus://offline/ref=EC513630DD0A2F9B2EC0205798B851993A5251DC8FCD4308CDDA19182ECC2154EE9666872F0FB998HANDC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consultantplus://offline/ref=EC513630DD0A2F9B2EC0205798B851993A5251D08ECB4308CDDA19182ECC2154EE9666852E0BHBND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consultantplus://offline/ref=EC513630DD0A2F9B2EC0205798B851993A5251D08ECB4308CDDA19182ECC2154EE9666852E0BHBND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consultantplus://offline/ref=EC513630DD0A2F9B2EC0205798B851993A5251D08ECB4308CDDA19182ECC2154EE9666852E0BHBND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EC513630DD0A2F9B2EC0205798B851993A5256DC8DCE4308CDDA19182EHCNCC" TargetMode="External"/><Relationship Id="rId1" Type="http://schemas.openxmlformats.org/officeDocument/2006/relationships/hyperlink" Target="consultantplus://offline/ref=EC513630DD0A2F9B2EC0205798B851993A5256DB8AC84308CDDA19182EHCNC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5"/>
  <sheetViews>
    <sheetView view="pageBreakPreview" topLeftCell="A79" zoomScale="60" zoomScaleNormal="70" workbookViewId="0">
      <selection activeCell="E14" sqref="E14:G14"/>
    </sheetView>
  </sheetViews>
  <sheetFormatPr defaultColWidth="28.85546875" defaultRowHeight="18.75" x14ac:dyDescent="0.25"/>
  <cols>
    <col min="1" max="1" width="6.42578125" style="92" customWidth="1"/>
    <col min="2" max="2" width="8.140625" style="92" customWidth="1"/>
    <col min="3" max="3" width="54" style="92" customWidth="1"/>
    <col min="4" max="4" width="39.7109375" style="92" customWidth="1"/>
    <col min="5" max="5" width="24.7109375" style="92" customWidth="1"/>
    <col min="6" max="6" width="23.5703125" style="92" customWidth="1"/>
    <col min="7" max="7" width="30.85546875" style="92" customWidth="1"/>
    <col min="8" max="8" width="21.7109375" style="42" customWidth="1"/>
    <col min="9" max="9" width="16.5703125" style="42" customWidth="1"/>
    <col min="10" max="10" width="15.42578125" style="44" customWidth="1"/>
    <col min="11" max="11" width="16.85546875" style="44" customWidth="1"/>
    <col min="12" max="12" width="23.85546875" style="44" customWidth="1"/>
    <col min="13" max="16384" width="28.85546875" style="44"/>
  </cols>
  <sheetData>
    <row r="1" spans="1:9" ht="18.75" customHeight="1" x14ac:dyDescent="0.25">
      <c r="E1" s="247" t="s">
        <v>39</v>
      </c>
      <c r="F1" s="247"/>
      <c r="G1" s="247"/>
      <c r="H1" s="43"/>
      <c r="I1" s="43"/>
    </row>
    <row r="2" spans="1:9" ht="109.5" customHeight="1" x14ac:dyDescent="0.25">
      <c r="E2" s="248" t="s">
        <v>374</v>
      </c>
      <c r="F2" s="248"/>
      <c r="G2" s="248"/>
      <c r="H2" s="43"/>
      <c r="I2" s="43"/>
    </row>
    <row r="3" spans="1:9" ht="34.5" customHeight="1" x14ac:dyDescent="0.25">
      <c r="E3" s="251" t="s">
        <v>28</v>
      </c>
      <c r="F3" s="251"/>
      <c r="G3" s="251"/>
    </row>
    <row r="4" spans="1:9" ht="64.5" customHeight="1" x14ac:dyDescent="0.25">
      <c r="E4" s="249" t="s">
        <v>435</v>
      </c>
      <c r="F4" s="249"/>
      <c r="G4" s="249"/>
    </row>
    <row r="5" spans="1:9" ht="18.75" customHeight="1" x14ac:dyDescent="0.25">
      <c r="D5" s="217" t="s">
        <v>251</v>
      </c>
      <c r="E5" s="250" t="s">
        <v>249</v>
      </c>
      <c r="F5" s="250"/>
      <c r="G5" s="250"/>
    </row>
    <row r="6" spans="1:9" ht="30" customHeight="1" x14ac:dyDescent="0.25">
      <c r="E6" s="252" t="s">
        <v>436</v>
      </c>
      <c r="F6" s="252"/>
      <c r="G6" s="252"/>
    </row>
    <row r="7" spans="1:9" ht="18.75" customHeight="1" x14ac:dyDescent="0.25">
      <c r="E7" s="253"/>
      <c r="F7" s="253"/>
      <c r="G7" s="253"/>
    </row>
    <row r="8" spans="1:9" ht="18.75" customHeight="1" x14ac:dyDescent="0.25">
      <c r="E8" s="250" t="s">
        <v>29</v>
      </c>
      <c r="F8" s="250"/>
      <c r="G8" s="250"/>
    </row>
    <row r="9" spans="1:9" ht="34.5" customHeight="1" x14ac:dyDescent="0.25">
      <c r="E9" s="247" t="s">
        <v>442</v>
      </c>
      <c r="F9" s="247"/>
      <c r="G9" s="247"/>
    </row>
    <row r="10" spans="1:9" s="93" customFormat="1" ht="12.75" customHeight="1" x14ac:dyDescent="0.25">
      <c r="A10" s="92"/>
      <c r="B10" s="92"/>
      <c r="C10" s="92"/>
      <c r="D10" s="92"/>
      <c r="E10" s="217"/>
      <c r="F10" s="217"/>
      <c r="G10" s="217"/>
      <c r="H10" s="92"/>
      <c r="I10" s="92"/>
    </row>
    <row r="11" spans="1:9" ht="18.75" customHeight="1" x14ac:dyDescent="0.25">
      <c r="E11" s="254" t="s">
        <v>423</v>
      </c>
      <c r="F11" s="254"/>
      <c r="G11" s="254"/>
    </row>
    <row r="12" spans="1:9" ht="18.75" customHeight="1" x14ac:dyDescent="0.25">
      <c r="E12" s="254" t="s">
        <v>406</v>
      </c>
      <c r="F12" s="254"/>
      <c r="G12" s="254"/>
    </row>
    <row r="13" spans="1:9" ht="18.75" customHeight="1" x14ac:dyDescent="0.25">
      <c r="E13" s="247" t="s">
        <v>441</v>
      </c>
      <c r="F13" s="247"/>
      <c r="G13" s="247"/>
    </row>
    <row r="14" spans="1:9" ht="46.5" customHeight="1" x14ac:dyDescent="0.25">
      <c r="E14" s="257" t="s">
        <v>381</v>
      </c>
      <c r="F14" s="257"/>
      <c r="G14" s="257"/>
    </row>
    <row r="15" spans="1:9" ht="18.75" customHeight="1" x14ac:dyDescent="0.25">
      <c r="E15" s="255" t="s">
        <v>250</v>
      </c>
      <c r="F15" s="255"/>
      <c r="G15" s="255"/>
    </row>
    <row r="16" spans="1:9" ht="18.75" customHeight="1" x14ac:dyDescent="0.25">
      <c r="E16" s="256" t="s">
        <v>382</v>
      </c>
      <c r="F16" s="256"/>
      <c r="G16" s="256"/>
    </row>
    <row r="17" spans="1:9" ht="17.25" customHeight="1" x14ac:dyDescent="0.25">
      <c r="E17" s="258" t="s">
        <v>30</v>
      </c>
      <c r="F17" s="258"/>
      <c r="G17" s="258"/>
    </row>
    <row r="18" spans="1:9" s="65" customFormat="1" ht="12" customHeight="1" thickBot="1" x14ac:dyDescent="0.3">
      <c r="A18" s="92"/>
      <c r="B18" s="92"/>
      <c r="C18" s="92"/>
      <c r="D18" s="92"/>
      <c r="E18" s="73"/>
      <c r="F18" s="73"/>
      <c r="G18" s="73"/>
      <c r="H18" s="64"/>
      <c r="I18" s="64"/>
    </row>
    <row r="19" spans="1:9" ht="19.5" thickBot="1" x14ac:dyDescent="0.3">
      <c r="A19" s="259"/>
      <c r="F19" s="5"/>
      <c r="G19" s="227" t="s">
        <v>31</v>
      </c>
    </row>
    <row r="20" spans="1:9" ht="19.5" thickBot="1" x14ac:dyDescent="0.3">
      <c r="A20" s="259"/>
      <c r="E20" s="217"/>
      <c r="F20" s="220" t="s">
        <v>32</v>
      </c>
      <c r="G20" s="4"/>
    </row>
    <row r="21" spans="1:9" ht="19.5" thickBot="1" x14ac:dyDescent="0.3">
      <c r="A21" s="259"/>
      <c r="E21" s="217"/>
      <c r="F21" s="220" t="s">
        <v>33</v>
      </c>
      <c r="G21" s="228">
        <v>53028033</v>
      </c>
      <c r="H21" s="74"/>
    </row>
    <row r="22" spans="1:9" ht="46.5" customHeight="1" thickBot="1" x14ac:dyDescent="0.3">
      <c r="A22" s="259"/>
      <c r="E22" s="250" t="s">
        <v>34</v>
      </c>
      <c r="F22" s="260"/>
      <c r="G22" s="228"/>
    </row>
    <row r="23" spans="1:9" ht="19.5" thickBot="1" x14ac:dyDescent="0.3">
      <c r="A23" s="259"/>
      <c r="E23" s="217"/>
      <c r="F23" s="220" t="s">
        <v>35</v>
      </c>
      <c r="G23" s="228">
        <v>4100018143</v>
      </c>
    </row>
    <row r="24" spans="1:9" ht="19.5" thickBot="1" x14ac:dyDescent="0.3">
      <c r="A24" s="259"/>
      <c r="E24" s="217"/>
      <c r="F24" s="220" t="s">
        <v>36</v>
      </c>
      <c r="G24" s="228">
        <v>410101001</v>
      </c>
    </row>
    <row r="25" spans="1:9" ht="31.5" customHeight="1" thickBot="1" x14ac:dyDescent="0.3">
      <c r="A25" s="259"/>
      <c r="E25" s="261" t="s">
        <v>37</v>
      </c>
      <c r="F25" s="262"/>
      <c r="G25" s="228">
        <v>383</v>
      </c>
    </row>
    <row r="26" spans="1:9" ht="75" customHeight="1" thickBot="1" x14ac:dyDescent="0.3">
      <c r="A26" s="259"/>
      <c r="E26" s="250" t="s">
        <v>38</v>
      </c>
      <c r="F26" s="260"/>
      <c r="G26" s="4"/>
    </row>
    <row r="28" spans="1:9" ht="24" customHeight="1" x14ac:dyDescent="0.25">
      <c r="A28" s="263" t="s">
        <v>26</v>
      </c>
      <c r="B28" s="263"/>
      <c r="C28" s="263"/>
      <c r="D28" s="263"/>
      <c r="E28" s="263"/>
      <c r="F28" s="263"/>
    </row>
    <row r="29" spans="1:9" x14ac:dyDescent="0.25">
      <c r="B29" s="229"/>
    </row>
    <row r="30" spans="1:9" ht="57.75" customHeight="1" x14ac:dyDescent="0.25">
      <c r="A30" s="248" t="s">
        <v>375</v>
      </c>
      <c r="B30" s="248"/>
      <c r="C30" s="248"/>
      <c r="D30" s="248"/>
      <c r="E30" s="248"/>
      <c r="F30" s="248"/>
      <c r="G30" s="248"/>
      <c r="H30" s="22"/>
      <c r="I30" s="22"/>
    </row>
    <row r="31" spans="1:9" ht="57.75" customHeight="1" x14ac:dyDescent="0.25">
      <c r="A31" s="248" t="s">
        <v>376</v>
      </c>
      <c r="B31" s="248"/>
      <c r="C31" s="248"/>
      <c r="D31" s="248"/>
      <c r="E31" s="248"/>
      <c r="F31" s="248"/>
      <c r="G31" s="248"/>
      <c r="H31" s="43"/>
      <c r="I31" s="43"/>
    </row>
    <row r="32" spans="1:9" ht="57.75" customHeight="1" x14ac:dyDescent="0.25">
      <c r="A32" s="248" t="s">
        <v>27</v>
      </c>
      <c r="B32" s="248"/>
      <c r="C32" s="248"/>
      <c r="D32" s="248"/>
      <c r="E32" s="248"/>
      <c r="F32" s="248"/>
      <c r="G32" s="248"/>
      <c r="H32" s="43"/>
      <c r="I32" s="43"/>
    </row>
    <row r="33" spans="1:9" ht="18.75" customHeight="1" x14ac:dyDescent="0.25">
      <c r="A33" s="218"/>
      <c r="B33" s="218"/>
      <c r="C33" s="218"/>
      <c r="D33" s="218"/>
      <c r="E33" s="218"/>
      <c r="F33" s="218"/>
      <c r="G33" s="218"/>
      <c r="H33" s="43"/>
      <c r="I33" s="43"/>
    </row>
    <row r="34" spans="1:9" ht="22.5" customHeight="1" x14ac:dyDescent="0.25">
      <c r="A34" s="218"/>
      <c r="B34" s="218"/>
      <c r="C34" s="218"/>
      <c r="D34" s="218"/>
      <c r="E34" s="218"/>
      <c r="F34" s="218"/>
      <c r="G34" s="218"/>
      <c r="H34" s="43"/>
      <c r="I34" s="43"/>
    </row>
    <row r="35" spans="1:9" s="65" customFormat="1" ht="52.5" customHeight="1" x14ac:dyDescent="0.25">
      <c r="A35" s="264" t="s">
        <v>300</v>
      </c>
      <c r="B35" s="264"/>
      <c r="C35" s="264"/>
      <c r="D35" s="264"/>
      <c r="E35" s="264"/>
      <c r="F35" s="264"/>
      <c r="G35" s="264"/>
      <c r="H35" s="63"/>
      <c r="I35" s="63"/>
    </row>
    <row r="36" spans="1:9" s="65" customFormat="1" ht="52.5" customHeight="1" x14ac:dyDescent="0.25">
      <c r="A36" s="221"/>
      <c r="B36" s="264" t="s">
        <v>44</v>
      </c>
      <c r="C36" s="264"/>
      <c r="D36" s="264"/>
      <c r="E36" s="264"/>
      <c r="F36" s="264"/>
      <c r="G36" s="67">
        <f>G38</f>
        <v>51830014</v>
      </c>
      <c r="H36" s="63"/>
      <c r="I36" s="63"/>
    </row>
    <row r="37" spans="1:9" s="65" customFormat="1" ht="52.5" customHeight="1" x14ac:dyDescent="0.25">
      <c r="A37" s="221"/>
      <c r="B37" s="264" t="s">
        <v>22</v>
      </c>
      <c r="C37" s="264"/>
      <c r="D37" s="264"/>
      <c r="E37" s="264"/>
      <c r="F37" s="264"/>
      <c r="G37" s="67"/>
      <c r="H37" s="63"/>
      <c r="I37" s="63"/>
    </row>
    <row r="38" spans="1:9" s="99" customFormat="1" ht="52.5" customHeight="1" x14ac:dyDescent="0.25">
      <c r="A38" s="222"/>
      <c r="B38" s="265" t="s">
        <v>301</v>
      </c>
      <c r="C38" s="265"/>
      <c r="D38" s="265"/>
      <c r="E38" s="265"/>
      <c r="F38" s="265"/>
      <c r="G38" s="100">
        <v>51830014</v>
      </c>
      <c r="H38" s="101"/>
      <c r="I38" s="101"/>
    </row>
    <row r="39" spans="1:9" s="65" customFormat="1" ht="52.5" customHeight="1" x14ac:dyDescent="0.25">
      <c r="A39" s="221"/>
      <c r="B39" s="264" t="s">
        <v>302</v>
      </c>
      <c r="C39" s="264"/>
      <c r="D39" s="264"/>
      <c r="E39" s="264"/>
      <c r="F39" s="264"/>
      <c r="G39" s="67"/>
      <c r="H39" s="63"/>
      <c r="I39" s="63"/>
    </row>
    <row r="40" spans="1:9" s="65" customFormat="1" ht="52.5" customHeight="1" x14ac:dyDescent="0.25">
      <c r="A40" s="221"/>
      <c r="B40" s="264" t="s">
        <v>303</v>
      </c>
      <c r="C40" s="264"/>
      <c r="D40" s="264"/>
      <c r="E40" s="264"/>
      <c r="F40" s="264"/>
      <c r="G40" s="67"/>
      <c r="H40" s="63"/>
      <c r="I40" s="63"/>
    </row>
    <row r="41" spans="1:9" s="65" customFormat="1" ht="52.5" customHeight="1" x14ac:dyDescent="0.25">
      <c r="A41" s="221"/>
      <c r="B41" s="264" t="s">
        <v>304</v>
      </c>
      <c r="C41" s="264"/>
      <c r="D41" s="264"/>
      <c r="E41" s="264"/>
      <c r="F41" s="264"/>
      <c r="G41" s="67"/>
      <c r="H41" s="63"/>
      <c r="I41" s="63"/>
    </row>
    <row r="42" spans="1:9" s="65" customFormat="1" ht="52.5" customHeight="1" x14ac:dyDescent="0.25">
      <c r="A42" s="264" t="s">
        <v>305</v>
      </c>
      <c r="B42" s="264"/>
      <c r="C42" s="264"/>
      <c r="D42" s="264"/>
      <c r="E42" s="264"/>
      <c r="F42" s="264"/>
      <c r="G42" s="264"/>
      <c r="H42" s="63"/>
      <c r="I42" s="63"/>
    </row>
    <row r="43" spans="1:9" s="65" customFormat="1" ht="52.5" customHeight="1" x14ac:dyDescent="0.25">
      <c r="A43" s="221"/>
      <c r="B43" s="264" t="s">
        <v>44</v>
      </c>
      <c r="C43" s="264"/>
      <c r="D43" s="264"/>
      <c r="E43" s="264"/>
      <c r="F43" s="264"/>
      <c r="G43" s="67">
        <f>4646271.05+G44</f>
        <v>11181519.239999998</v>
      </c>
      <c r="H43" s="63"/>
      <c r="I43" s="63"/>
    </row>
    <row r="44" spans="1:9" s="65" customFormat="1" ht="52.5" customHeight="1" x14ac:dyDescent="0.25">
      <c r="A44" s="221"/>
      <c r="B44" s="264" t="s">
        <v>22</v>
      </c>
      <c r="C44" s="264"/>
      <c r="D44" s="264"/>
      <c r="E44" s="264"/>
      <c r="F44" s="264"/>
      <c r="G44" s="67">
        <f>SUM(G45:G46)</f>
        <v>6535248.1899999995</v>
      </c>
      <c r="H44" s="63"/>
      <c r="I44" s="63"/>
    </row>
    <row r="45" spans="1:9" s="99" customFormat="1" ht="52.5" customHeight="1" x14ac:dyDescent="0.25">
      <c r="A45" s="222"/>
      <c r="B45" s="265" t="s">
        <v>306</v>
      </c>
      <c r="C45" s="265"/>
      <c r="D45" s="265"/>
      <c r="E45" s="265"/>
      <c r="F45" s="265"/>
      <c r="G45" s="100">
        <v>375140.6</v>
      </c>
      <c r="H45" s="101"/>
      <c r="I45" s="101"/>
    </row>
    <row r="46" spans="1:9" s="99" customFormat="1" ht="52.5" customHeight="1" x14ac:dyDescent="0.25">
      <c r="A46" s="222"/>
      <c r="B46" s="265" t="s">
        <v>307</v>
      </c>
      <c r="C46" s="265"/>
      <c r="D46" s="265"/>
      <c r="E46" s="265"/>
      <c r="F46" s="265"/>
      <c r="G46" s="100">
        <v>6160107.5899999999</v>
      </c>
      <c r="H46" s="101"/>
      <c r="I46" s="101"/>
    </row>
    <row r="47" spans="1:9" ht="18.75" customHeight="1" x14ac:dyDescent="0.25">
      <c r="A47" s="218"/>
      <c r="B47" s="218"/>
      <c r="C47" s="218"/>
      <c r="D47" s="218"/>
      <c r="E47" s="218"/>
      <c r="F47" s="218"/>
      <c r="G47" s="218"/>
      <c r="H47" s="43"/>
      <c r="I47" s="43"/>
    </row>
    <row r="48" spans="1:9" ht="37.5" customHeight="1" x14ac:dyDescent="0.25">
      <c r="A48" s="219"/>
      <c r="B48" s="268" t="s">
        <v>24</v>
      </c>
      <c r="C48" s="268"/>
      <c r="D48" s="268"/>
      <c r="E48" s="268"/>
      <c r="F48" s="219"/>
    </row>
    <row r="49" spans="1:9" ht="19.5" customHeight="1" x14ac:dyDescent="0.3">
      <c r="A49" s="10"/>
      <c r="B49" s="266" t="s">
        <v>432</v>
      </c>
      <c r="C49" s="266"/>
      <c r="D49" s="266"/>
      <c r="E49" s="10"/>
      <c r="F49" s="10"/>
    </row>
    <row r="50" spans="1:9" ht="20.25" customHeight="1" x14ac:dyDescent="0.25">
      <c r="A50" s="41"/>
      <c r="B50" s="267" t="s">
        <v>25</v>
      </c>
      <c r="C50" s="267"/>
      <c r="D50" s="267"/>
      <c r="E50" s="41"/>
      <c r="F50" s="41"/>
    </row>
    <row r="51" spans="1:9" ht="20.25" customHeight="1" thickBot="1" x14ac:dyDescent="0.3">
      <c r="C51" s="229"/>
      <c r="D51" s="92" t="s">
        <v>94</v>
      </c>
    </row>
    <row r="52" spans="1:9" ht="19.5" thickBot="1" x14ac:dyDescent="0.3">
      <c r="B52" s="1" t="s">
        <v>0</v>
      </c>
      <c r="C52" s="227" t="s">
        <v>1</v>
      </c>
      <c r="D52" s="227" t="s">
        <v>2</v>
      </c>
      <c r="E52" s="12"/>
    </row>
    <row r="53" spans="1:9" ht="18" customHeight="1" thickBot="1" x14ac:dyDescent="0.3">
      <c r="B53" s="226">
        <v>1</v>
      </c>
      <c r="C53" s="228">
        <v>2</v>
      </c>
      <c r="D53" s="228">
        <v>3</v>
      </c>
      <c r="E53" s="12"/>
    </row>
    <row r="54" spans="1:9" ht="25.5" customHeight="1" thickBot="1" x14ac:dyDescent="0.3">
      <c r="B54" s="223"/>
      <c r="C54" s="228" t="s">
        <v>3</v>
      </c>
      <c r="D54" s="20">
        <v>0</v>
      </c>
      <c r="E54" s="13"/>
    </row>
    <row r="55" spans="1:9" ht="18" customHeight="1" x14ac:dyDescent="0.25">
      <c r="B55" s="269"/>
      <c r="C55" s="7" t="s">
        <v>4</v>
      </c>
      <c r="D55" s="271">
        <f>G36</f>
        <v>51830014</v>
      </c>
      <c r="E55" s="13"/>
    </row>
    <row r="56" spans="1:9" ht="27.75" customHeight="1" thickBot="1" x14ac:dyDescent="0.3">
      <c r="B56" s="270"/>
      <c r="C56" s="19" t="s">
        <v>5</v>
      </c>
      <c r="D56" s="272"/>
      <c r="E56" s="13"/>
    </row>
    <row r="57" spans="1:9" ht="29.25" customHeight="1" thickBot="1" x14ac:dyDescent="0.3">
      <c r="B57" s="223"/>
      <c r="C57" s="228" t="s">
        <v>6</v>
      </c>
      <c r="D57" s="20">
        <v>32782598.890000001</v>
      </c>
      <c r="E57" s="13"/>
    </row>
    <row r="58" spans="1:9" ht="35.25" customHeight="1" thickBot="1" x14ac:dyDescent="0.3">
      <c r="B58" s="223"/>
      <c r="C58" s="228" t="s">
        <v>7</v>
      </c>
      <c r="D58" s="20">
        <f>G46</f>
        <v>6160107.5899999999</v>
      </c>
      <c r="E58" s="13"/>
    </row>
    <row r="59" spans="1:9" ht="35.25" customHeight="1" thickBot="1" x14ac:dyDescent="0.3">
      <c r="B59" s="223"/>
      <c r="C59" s="228" t="s">
        <v>6</v>
      </c>
      <c r="D59" s="20">
        <v>2599788.61</v>
      </c>
      <c r="E59" s="13"/>
    </row>
    <row r="60" spans="1:9" s="66" customFormat="1" ht="35.25" customHeight="1" thickBot="1" x14ac:dyDescent="0.3">
      <c r="A60" s="124"/>
      <c r="B60" s="69"/>
      <c r="C60" s="184" t="s">
        <v>8</v>
      </c>
      <c r="D60" s="71">
        <f>D61</f>
        <v>35870.199999999997</v>
      </c>
      <c r="E60" s="72"/>
      <c r="F60" s="124"/>
      <c r="G60" s="124"/>
      <c r="H60" s="68"/>
      <c r="I60" s="68"/>
    </row>
    <row r="61" spans="1:9" ht="18" customHeight="1" x14ac:dyDescent="0.25">
      <c r="B61" s="269"/>
      <c r="C61" s="7" t="s">
        <v>4</v>
      </c>
      <c r="D61" s="271">
        <f>D63</f>
        <v>35870.199999999997</v>
      </c>
      <c r="E61" s="13"/>
    </row>
    <row r="62" spans="1:9" ht="27" customHeight="1" thickBot="1" x14ac:dyDescent="0.3">
      <c r="B62" s="270"/>
      <c r="C62" s="19" t="s">
        <v>9</v>
      </c>
      <c r="D62" s="272"/>
      <c r="E62" s="13"/>
    </row>
    <row r="63" spans="1:9" ht="18" customHeight="1" x14ac:dyDescent="0.25">
      <c r="B63" s="269"/>
      <c r="C63" s="7" t="s">
        <v>4</v>
      </c>
      <c r="D63" s="271">
        <v>35870.199999999997</v>
      </c>
      <c r="E63" s="13"/>
    </row>
    <row r="64" spans="1:9" ht="29.25" customHeight="1" thickBot="1" x14ac:dyDescent="0.3">
      <c r="B64" s="270"/>
      <c r="C64" s="19" t="s">
        <v>10</v>
      </c>
      <c r="D64" s="272"/>
      <c r="E64" s="13"/>
    </row>
    <row r="65" spans="1:9" ht="59.25" customHeight="1" thickBot="1" x14ac:dyDescent="0.3">
      <c r="B65" s="223"/>
      <c r="C65" s="19" t="s">
        <v>11</v>
      </c>
      <c r="D65" s="20">
        <v>0</v>
      </c>
      <c r="E65" s="13"/>
    </row>
    <row r="66" spans="1:9" ht="46.5" customHeight="1" thickBot="1" x14ac:dyDescent="0.3">
      <c r="B66" s="223"/>
      <c r="C66" s="19" t="s">
        <v>12</v>
      </c>
      <c r="D66" s="20">
        <v>0</v>
      </c>
      <c r="E66" s="13"/>
    </row>
    <row r="67" spans="1:9" s="99" customFormat="1" ht="46.5" customHeight="1" thickBot="1" x14ac:dyDescent="0.3">
      <c r="A67" s="94"/>
      <c r="B67" s="95"/>
      <c r="C67" s="96" t="s">
        <v>13</v>
      </c>
      <c r="D67" s="97">
        <f>D68+D70</f>
        <v>1207718.26</v>
      </c>
      <c r="E67" s="98"/>
      <c r="F67" s="94"/>
      <c r="G67" s="94"/>
      <c r="H67" s="94"/>
      <c r="I67" s="94"/>
    </row>
    <row r="68" spans="1:9" ht="18" customHeight="1" x14ac:dyDescent="0.25">
      <c r="B68" s="269"/>
      <c r="C68" s="7" t="s">
        <v>4</v>
      </c>
      <c r="D68" s="271">
        <v>13131.31</v>
      </c>
      <c r="E68" s="13"/>
    </row>
    <row r="69" spans="1:9" ht="35.25" customHeight="1" thickBot="1" x14ac:dyDescent="0.3">
      <c r="B69" s="270"/>
      <c r="C69" s="19" t="s">
        <v>14</v>
      </c>
      <c r="D69" s="272"/>
      <c r="E69" s="13"/>
    </row>
    <row r="70" spans="1:9" ht="35.25" customHeight="1" thickBot="1" x14ac:dyDescent="0.3">
      <c r="B70" s="223"/>
      <c r="C70" s="19" t="s">
        <v>15</v>
      </c>
      <c r="D70" s="20">
        <v>1194586.95</v>
      </c>
      <c r="E70" s="13"/>
    </row>
    <row r="71" spans="1:9" ht="35.25" customHeight="1" thickBot="1" x14ac:dyDescent="0.3">
      <c r="B71" s="223"/>
      <c r="C71" s="19" t="s">
        <v>16</v>
      </c>
      <c r="D71" s="20"/>
      <c r="E71" s="13"/>
    </row>
    <row r="72" spans="1:9" ht="32.25" customHeight="1" thickBot="1" x14ac:dyDescent="0.3">
      <c r="B72" s="223"/>
      <c r="C72" s="228" t="s">
        <v>17</v>
      </c>
      <c r="D72" s="20">
        <f>D73+D75+100000</f>
        <v>1275493.5</v>
      </c>
      <c r="E72" s="13"/>
    </row>
    <row r="73" spans="1:9" ht="18" customHeight="1" x14ac:dyDescent="0.25">
      <c r="B73" s="269"/>
      <c r="C73" s="7" t="s">
        <v>4</v>
      </c>
      <c r="D73" s="271">
        <v>0</v>
      </c>
      <c r="E73" s="13"/>
    </row>
    <row r="74" spans="1:9" ht="18" customHeight="1" thickBot="1" x14ac:dyDescent="0.3">
      <c r="B74" s="270"/>
      <c r="C74" s="19" t="s">
        <v>18</v>
      </c>
      <c r="D74" s="272"/>
      <c r="E74" s="13"/>
    </row>
    <row r="75" spans="1:9" s="99" customFormat="1" ht="42.75" customHeight="1" thickBot="1" x14ac:dyDescent="0.3">
      <c r="A75" s="94"/>
      <c r="B75" s="95"/>
      <c r="C75" s="96" t="s">
        <v>19</v>
      </c>
      <c r="D75" s="97">
        <f>D76+D78</f>
        <v>1175493.5</v>
      </c>
      <c r="E75" s="98"/>
      <c r="F75" s="94"/>
      <c r="G75" s="94"/>
      <c r="H75" s="94"/>
      <c r="I75" s="94"/>
    </row>
    <row r="76" spans="1:9" ht="18" customHeight="1" x14ac:dyDescent="0.25">
      <c r="B76" s="269"/>
      <c r="C76" s="7" t="s">
        <v>4</v>
      </c>
      <c r="D76" s="271">
        <v>310484.58</v>
      </c>
      <c r="E76" s="13"/>
    </row>
    <row r="77" spans="1:9" ht="87" customHeight="1" thickBot="1" x14ac:dyDescent="0.3">
      <c r="B77" s="270"/>
      <c r="C77" s="19" t="s">
        <v>20</v>
      </c>
      <c r="D77" s="272"/>
      <c r="E77" s="13"/>
    </row>
    <row r="78" spans="1:9" ht="87" customHeight="1" thickBot="1" x14ac:dyDescent="0.3">
      <c r="B78" s="223"/>
      <c r="C78" s="19" t="s">
        <v>21</v>
      </c>
      <c r="D78" s="20">
        <v>865008.92</v>
      </c>
      <c r="E78" s="13"/>
    </row>
    <row r="79" spans="1:9" ht="18" customHeight="1" x14ac:dyDescent="0.25">
      <c r="B79" s="269"/>
      <c r="C79" s="7" t="s">
        <v>22</v>
      </c>
      <c r="D79" s="271">
        <v>0</v>
      </c>
      <c r="E79" s="13"/>
    </row>
    <row r="80" spans="1:9" ht="45.75" customHeight="1" thickBot="1" x14ac:dyDescent="0.3">
      <c r="B80" s="270"/>
      <c r="C80" s="19" t="s">
        <v>23</v>
      </c>
      <c r="D80" s="272"/>
      <c r="E80" s="13"/>
    </row>
    <row r="81" spans="2:5" ht="18" customHeight="1" x14ac:dyDescent="0.25">
      <c r="B81" s="273"/>
      <c r="C81" s="7" t="s">
        <v>4</v>
      </c>
      <c r="D81" s="224"/>
      <c r="E81" s="13"/>
    </row>
    <row r="82" spans="2:5" ht="63.75" customHeight="1" thickBot="1" x14ac:dyDescent="0.3">
      <c r="B82" s="274"/>
      <c r="C82" s="19" t="s">
        <v>20</v>
      </c>
      <c r="D82" s="225">
        <v>0</v>
      </c>
      <c r="E82" s="13"/>
    </row>
    <row r="83" spans="2:5" ht="79.5" customHeight="1" thickBot="1" x14ac:dyDescent="0.3">
      <c r="B83" s="226"/>
      <c r="C83" s="19" t="s">
        <v>21</v>
      </c>
      <c r="D83" s="20">
        <v>0</v>
      </c>
      <c r="E83" s="12"/>
    </row>
    <row r="84" spans="2:5" ht="18" customHeight="1" x14ac:dyDescent="0.25">
      <c r="B84" s="273"/>
      <c r="C84" s="7" t="s">
        <v>22</v>
      </c>
      <c r="D84" s="224"/>
      <c r="E84" s="13"/>
    </row>
    <row r="85" spans="2:5" ht="48" customHeight="1" thickBot="1" x14ac:dyDescent="0.3">
      <c r="B85" s="274"/>
      <c r="C85" s="19" t="s">
        <v>23</v>
      </c>
      <c r="D85" s="225">
        <v>0</v>
      </c>
      <c r="E85" s="13"/>
    </row>
  </sheetData>
  <customSheetViews>
    <customSheetView guid="{91D40EB3-3AB1-43EC-9BD4-811B569873C7}" scale="60" showPageBreaks="1" printArea="1" view="pageBreakPreview" topLeftCell="A19">
      <selection activeCell="E14" sqref="E14:G14"/>
      <rowBreaks count="1" manualBreakCount="1">
        <brk id="47" max="6" man="1"/>
      </rowBreaks>
      <pageMargins left="0.70866141732283472" right="0.70866141732283472" top="0.22" bottom="0.25" header="0.31496062992125984" footer="0.44"/>
      <pageSetup paperSize="9" scale="46" orientation="portrait" r:id="rId1"/>
    </customSheetView>
    <customSheetView guid="{30DD97D7-A999-4776-AF65-71256237214E}" scale="60" showPageBreaks="1" printArea="1" view="pageBreakPreview" topLeftCell="A61">
      <selection activeCell="E14" sqref="E14:G14"/>
      <rowBreaks count="1" manualBreakCount="1">
        <brk id="47" max="6" man="1"/>
      </rowBreaks>
      <pageMargins left="0.70866141732283472" right="0.70866141732283472" top="0.22" bottom="0.25" header="0.31496062992125984" footer="0.44"/>
      <pageSetup paperSize="9" scale="46" orientation="portrait" r:id="rId2"/>
    </customSheetView>
    <customSheetView guid="{FB496A58-F583-46B2-B046-A2748948A2F7}" scale="60" showPageBreaks="1" printArea="1" view="pageBreakPreview" topLeftCell="A19">
      <selection activeCell="E14" sqref="E14:G14"/>
      <rowBreaks count="1" manualBreakCount="1">
        <brk id="47" max="6" man="1"/>
      </rowBreaks>
      <pageMargins left="0.70866141732283472" right="0.70866141732283472" top="0.22" bottom="0.25" header="0.31496062992125984" footer="0.44"/>
      <pageSetup paperSize="9" scale="46" orientation="portrait" r:id="rId3"/>
    </customSheetView>
  </customSheetViews>
  <mergeCells count="54">
    <mergeCell ref="B79:B80"/>
    <mergeCell ref="D79:D80"/>
    <mergeCell ref="B81:B82"/>
    <mergeCell ref="B84:B85"/>
    <mergeCell ref="B68:B69"/>
    <mergeCell ref="D68:D69"/>
    <mergeCell ref="B73:B74"/>
    <mergeCell ref="D73:D74"/>
    <mergeCell ref="B76:B77"/>
    <mergeCell ref="D76:D77"/>
    <mergeCell ref="B55:B56"/>
    <mergeCell ref="D55:D56"/>
    <mergeCell ref="B61:B62"/>
    <mergeCell ref="D61:D62"/>
    <mergeCell ref="B63:B64"/>
    <mergeCell ref="D63:D64"/>
    <mergeCell ref="B44:F44"/>
    <mergeCell ref="B45:F45"/>
    <mergeCell ref="B46:F46"/>
    <mergeCell ref="B49:D49"/>
    <mergeCell ref="B50:D50"/>
    <mergeCell ref="B48:E48"/>
    <mergeCell ref="B43:F43"/>
    <mergeCell ref="A30:G30"/>
    <mergeCell ref="A31:G31"/>
    <mergeCell ref="A32:G32"/>
    <mergeCell ref="A35:G35"/>
    <mergeCell ref="B36:F36"/>
    <mergeCell ref="B37:F37"/>
    <mergeCell ref="B38:F38"/>
    <mergeCell ref="B39:F39"/>
    <mergeCell ref="B40:F40"/>
    <mergeCell ref="B41:F41"/>
    <mergeCell ref="A42:G42"/>
    <mergeCell ref="A19:A26"/>
    <mergeCell ref="E22:F22"/>
    <mergeCell ref="E25:F25"/>
    <mergeCell ref="E26:F26"/>
    <mergeCell ref="A28:F28"/>
    <mergeCell ref="E15:G15"/>
    <mergeCell ref="E16:G16"/>
    <mergeCell ref="E14:G14"/>
    <mergeCell ref="E9:G9"/>
    <mergeCell ref="E17:G17"/>
    <mergeCell ref="E6:G7"/>
    <mergeCell ref="E8:G8"/>
    <mergeCell ref="E11:G11"/>
    <mergeCell ref="E12:G12"/>
    <mergeCell ref="E13:G13"/>
    <mergeCell ref="E1:G1"/>
    <mergeCell ref="E2:G2"/>
    <mergeCell ref="E4:G4"/>
    <mergeCell ref="E5:G5"/>
    <mergeCell ref="E3:G3"/>
  </mergeCells>
  <hyperlinks>
    <hyperlink ref="E25" r:id="rId4" display="consultantplus://offline/ref=EC513630DD0A2F9B2EC0205798B851993A5251DC8FCD4308CDDA19182ECC2154EE9666872F0FB998HANDC"/>
  </hyperlinks>
  <pageMargins left="0.70866141732283472" right="0.70866141732283472" top="0.23622047244094491" bottom="0.23622047244094491" header="0.31496062992125984" footer="0.43307086614173229"/>
  <pageSetup paperSize="9" scale="45" orientation="portrait" r:id="rId5"/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0"/>
  <sheetViews>
    <sheetView view="pageBreakPreview" zoomScale="60" zoomScaleNormal="72" workbookViewId="0">
      <selection activeCell="C156" sqref="C156"/>
    </sheetView>
  </sheetViews>
  <sheetFormatPr defaultRowHeight="15" x14ac:dyDescent="0.25"/>
  <cols>
    <col min="1" max="1" width="8.5703125" customWidth="1"/>
    <col min="2" max="2" width="30.140625" customWidth="1"/>
    <col min="3" max="3" width="16.42578125" customWidth="1"/>
    <col min="4" max="4" width="17.140625" customWidth="1"/>
    <col min="5" max="5" width="19.85546875" customWidth="1"/>
    <col min="6" max="6" width="21.42578125" customWidth="1"/>
    <col min="7" max="7" width="19.85546875" customWidth="1"/>
    <col min="8" max="8" width="15.42578125" customWidth="1"/>
    <col min="9" max="9" width="15" customWidth="1"/>
    <col min="10" max="10" width="21.140625" customWidth="1"/>
    <col min="12" max="12" width="25.85546875" customWidth="1"/>
    <col min="13" max="13" width="18.7109375" customWidth="1"/>
    <col min="14" max="14" width="9.42578125" bestFit="1" customWidth="1"/>
    <col min="18" max="19" width="13.42578125" bestFit="1" customWidth="1"/>
  </cols>
  <sheetData>
    <row r="1" spans="1:10" ht="18.75" x14ac:dyDescent="0.25">
      <c r="J1" s="11" t="s">
        <v>119</v>
      </c>
    </row>
    <row r="2" spans="1:10" ht="18.75" x14ac:dyDescent="0.25">
      <c r="J2" s="11" t="s">
        <v>120</v>
      </c>
    </row>
    <row r="3" spans="1:10" ht="16.5" x14ac:dyDescent="0.25">
      <c r="J3" s="21" t="s">
        <v>121</v>
      </c>
    </row>
    <row r="4" spans="1:10" ht="16.5" x14ac:dyDescent="0.25">
      <c r="J4" s="21" t="s">
        <v>122</v>
      </c>
    </row>
    <row r="5" spans="1:10" ht="16.5" x14ac:dyDescent="0.25">
      <c r="J5" s="21" t="s">
        <v>123</v>
      </c>
    </row>
    <row r="6" spans="1:10" ht="16.5" x14ac:dyDescent="0.25">
      <c r="J6" s="21" t="s">
        <v>124</v>
      </c>
    </row>
    <row r="7" spans="1:10" ht="16.5" x14ac:dyDescent="0.25">
      <c r="J7" s="21" t="s">
        <v>125</v>
      </c>
    </row>
    <row r="8" spans="1:10" ht="16.5" x14ac:dyDescent="0.25">
      <c r="J8" s="21" t="s">
        <v>126</v>
      </c>
    </row>
    <row r="11" spans="1:10" ht="15" customHeight="1" x14ac:dyDescent="0.25">
      <c r="A11" s="263" t="s">
        <v>430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ht="18.75" x14ac:dyDescent="0.25">
      <c r="A12" s="104"/>
      <c r="B12" s="104"/>
      <c r="C12" s="207"/>
      <c r="D12" s="104"/>
      <c r="E12" s="104"/>
      <c r="F12" s="104"/>
      <c r="G12" s="104"/>
      <c r="H12" s="104"/>
      <c r="I12" s="104"/>
      <c r="J12" s="104"/>
    </row>
    <row r="13" spans="1:10" ht="18.75" hidden="1" customHeight="1" x14ac:dyDescent="0.25">
      <c r="A13" s="263" t="s">
        <v>127</v>
      </c>
      <c r="B13" s="263"/>
      <c r="C13" s="263"/>
      <c r="D13" s="263"/>
      <c r="E13" s="263"/>
      <c r="F13" s="263"/>
      <c r="G13" s="263"/>
      <c r="H13" s="263"/>
      <c r="I13" s="263"/>
      <c r="J13" s="263"/>
    </row>
    <row r="14" spans="1:10" ht="15" hidden="1" customHeigh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8.75" hidden="1" customHeight="1" x14ac:dyDescent="0.25">
      <c r="A15" s="335" t="s">
        <v>342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21" hidden="1" customHeight="1" x14ac:dyDescent="0.25">
      <c r="A16" s="335" t="s">
        <v>343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9" ht="18.75" hidden="1" x14ac:dyDescent="0.25">
      <c r="A17" s="22"/>
    </row>
    <row r="18" spans="1:19" ht="18.75" hidden="1" x14ac:dyDescent="0.25">
      <c r="A18" s="263" t="s">
        <v>128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9" hidden="1" x14ac:dyDescent="0.25">
      <c r="I19">
        <v>1.6</v>
      </c>
    </row>
    <row r="20" spans="1:19" ht="36" hidden="1" customHeight="1" thickBot="1" x14ac:dyDescent="0.3">
      <c r="A20" s="273" t="s">
        <v>0</v>
      </c>
      <c r="B20" s="273" t="s">
        <v>129</v>
      </c>
      <c r="C20" s="273" t="s">
        <v>130</v>
      </c>
      <c r="D20" s="304" t="s">
        <v>131</v>
      </c>
      <c r="E20" s="305"/>
      <c r="F20" s="305"/>
      <c r="G20" s="306"/>
      <c r="H20" s="273" t="s">
        <v>132</v>
      </c>
      <c r="I20" s="273" t="s">
        <v>133</v>
      </c>
      <c r="J20" s="273" t="s">
        <v>134</v>
      </c>
    </row>
    <row r="21" spans="1:19" ht="19.5" hidden="1" thickBot="1" x14ac:dyDescent="0.3">
      <c r="A21" s="303"/>
      <c r="B21" s="303"/>
      <c r="C21" s="303"/>
      <c r="D21" s="273" t="s">
        <v>135</v>
      </c>
      <c r="E21" s="304" t="s">
        <v>22</v>
      </c>
      <c r="F21" s="305"/>
      <c r="G21" s="306"/>
      <c r="H21" s="303"/>
      <c r="I21" s="303"/>
      <c r="J21" s="303"/>
    </row>
    <row r="22" spans="1:19" ht="109.5" hidden="1" customHeight="1" thickBot="1" x14ac:dyDescent="0.3">
      <c r="A22" s="274"/>
      <c r="B22" s="274"/>
      <c r="C22" s="274"/>
      <c r="D22" s="274"/>
      <c r="E22" s="214" t="s">
        <v>136</v>
      </c>
      <c r="F22" s="214" t="s">
        <v>137</v>
      </c>
      <c r="G22" s="214" t="s">
        <v>138</v>
      </c>
      <c r="H22" s="274"/>
      <c r="I22" s="274"/>
      <c r="J22" s="274"/>
    </row>
    <row r="23" spans="1:19" ht="19.5" hidden="1" thickBot="1" x14ac:dyDescent="0.3">
      <c r="A23" s="208">
        <v>1</v>
      </c>
      <c r="B23" s="214">
        <v>2</v>
      </c>
      <c r="C23" s="214">
        <v>3</v>
      </c>
      <c r="D23" s="214">
        <v>4</v>
      </c>
      <c r="E23" s="214">
        <v>5</v>
      </c>
      <c r="F23" s="214">
        <v>6</v>
      </c>
      <c r="G23" s="214">
        <v>7</v>
      </c>
      <c r="H23" s="214">
        <v>8</v>
      </c>
      <c r="I23" s="214">
        <v>9</v>
      </c>
      <c r="J23" s="214">
        <v>10</v>
      </c>
    </row>
    <row r="24" spans="1:19" ht="38.25" hidden="1" thickBot="1" x14ac:dyDescent="0.3">
      <c r="A24" s="208"/>
      <c r="B24" s="208" t="s">
        <v>335</v>
      </c>
      <c r="C24" s="214"/>
      <c r="D24" s="20"/>
      <c r="E24" s="20"/>
      <c r="F24" s="20"/>
      <c r="G24" s="20"/>
      <c r="H24" s="20"/>
      <c r="I24" s="20"/>
      <c r="J24" s="20"/>
      <c r="L24" s="103"/>
      <c r="M24" s="103"/>
    </row>
    <row r="25" spans="1:19" ht="38.25" hidden="1" thickBot="1" x14ac:dyDescent="0.3">
      <c r="A25" s="208"/>
      <c r="B25" s="208" t="s">
        <v>336</v>
      </c>
      <c r="C25" s="214"/>
      <c r="D25" s="20"/>
      <c r="E25" s="20"/>
      <c r="F25" s="20"/>
      <c r="G25" s="20"/>
      <c r="H25" s="102"/>
      <c r="I25" s="20"/>
      <c r="J25" s="20"/>
      <c r="L25" s="103"/>
      <c r="M25" s="103"/>
    </row>
    <row r="26" spans="1:19" ht="57" hidden="1" thickBot="1" x14ac:dyDescent="0.3">
      <c r="A26" s="213"/>
      <c r="B26" s="208" t="s">
        <v>337</v>
      </c>
      <c r="C26" s="214"/>
      <c r="D26" s="20"/>
      <c r="E26" s="20"/>
      <c r="F26" s="20"/>
      <c r="G26" s="20"/>
      <c r="H26" s="20"/>
      <c r="I26" s="20"/>
      <c r="J26" s="20"/>
      <c r="L26" s="103"/>
    </row>
    <row r="27" spans="1:19" ht="38.25" hidden="1" thickBot="1" x14ac:dyDescent="0.3">
      <c r="A27" s="213"/>
      <c r="B27" s="208" t="s">
        <v>338</v>
      </c>
      <c r="C27" s="214"/>
      <c r="D27" s="20"/>
      <c r="E27" s="77"/>
      <c r="F27" s="77"/>
      <c r="G27" s="20"/>
      <c r="H27" s="214"/>
      <c r="I27" s="20"/>
      <c r="J27" s="20"/>
      <c r="L27" s="103"/>
      <c r="M27" s="103"/>
      <c r="R27" s="103">
        <f>L27-J28</f>
        <v>0</v>
      </c>
      <c r="S27" s="125">
        <f>R27-259000-100000</f>
        <v>-359000</v>
      </c>
    </row>
    <row r="28" spans="1:19" ht="39.75" hidden="1" customHeight="1" thickBot="1" x14ac:dyDescent="0.3">
      <c r="A28" s="336" t="s">
        <v>139</v>
      </c>
      <c r="B28" s="337"/>
      <c r="C28" s="136" t="s">
        <v>140</v>
      </c>
      <c r="D28" s="136"/>
      <c r="E28" s="136" t="s">
        <v>140</v>
      </c>
      <c r="F28" s="136" t="s">
        <v>140</v>
      </c>
      <c r="G28" s="136" t="s">
        <v>140</v>
      </c>
      <c r="H28" s="137" t="s">
        <v>140</v>
      </c>
      <c r="I28" s="136" t="s">
        <v>140</v>
      </c>
      <c r="J28" s="138">
        <f>SUM(J24:J27)</f>
        <v>0</v>
      </c>
      <c r="L28" s="103"/>
    </row>
    <row r="29" spans="1:19" hidden="1" x14ac:dyDescent="0.25">
      <c r="L29" s="105"/>
      <c r="M29" s="103"/>
    </row>
    <row r="30" spans="1:19" hidden="1" x14ac:dyDescent="0.25">
      <c r="L30" s="103"/>
      <c r="M30" s="103"/>
    </row>
    <row r="31" spans="1:19" s="106" customFormat="1" ht="38.25" hidden="1" customHeight="1" x14ac:dyDescent="0.25">
      <c r="A31" s="321" t="s">
        <v>188</v>
      </c>
      <c r="B31" s="321"/>
      <c r="C31" s="321"/>
      <c r="D31" s="321"/>
      <c r="E31" s="321"/>
      <c r="F31" s="321"/>
      <c r="L31" s="107"/>
    </row>
    <row r="32" spans="1:19" s="106" customFormat="1" hidden="1" x14ac:dyDescent="0.25">
      <c r="L32" s="107"/>
    </row>
    <row r="33" spans="1:12" s="106" customFormat="1" ht="123" hidden="1" customHeight="1" thickBot="1" x14ac:dyDescent="0.3">
      <c r="A33" s="108" t="s">
        <v>0</v>
      </c>
      <c r="B33" s="181" t="s">
        <v>141</v>
      </c>
      <c r="C33" s="181" t="s">
        <v>142</v>
      </c>
      <c r="D33" s="181" t="s">
        <v>143</v>
      </c>
      <c r="E33" s="181" t="s">
        <v>144</v>
      </c>
      <c r="F33" s="181" t="s">
        <v>145</v>
      </c>
      <c r="L33" s="107"/>
    </row>
    <row r="34" spans="1:12" s="106" customFormat="1" ht="19.5" hidden="1" customHeight="1" thickBot="1" x14ac:dyDescent="0.3">
      <c r="A34" s="210">
        <v>1</v>
      </c>
      <c r="B34" s="184">
        <v>2</v>
      </c>
      <c r="C34" s="184">
        <v>3</v>
      </c>
      <c r="D34" s="184">
        <v>4</v>
      </c>
      <c r="E34" s="184">
        <v>5</v>
      </c>
      <c r="F34" s="184">
        <v>6</v>
      </c>
    </row>
    <row r="35" spans="1:12" s="106" customFormat="1" ht="19.5" hidden="1" customHeight="1" thickBot="1" x14ac:dyDescent="0.3">
      <c r="A35" s="210">
        <v>1</v>
      </c>
      <c r="B35" s="184"/>
      <c r="C35" s="109">
        <v>0</v>
      </c>
      <c r="D35" s="109">
        <v>0</v>
      </c>
      <c r="E35" s="109">
        <v>0</v>
      </c>
      <c r="F35" s="109">
        <f>C35*D35*E35</f>
        <v>0</v>
      </c>
    </row>
    <row r="36" spans="1:12" s="106" customFormat="1" ht="19.5" hidden="1" customHeight="1" thickBot="1" x14ac:dyDescent="0.3">
      <c r="A36" s="210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</row>
    <row r="37" spans="1:12" s="106" customFormat="1" ht="15" hidden="1" customHeight="1" x14ac:dyDescent="0.25"/>
    <row r="38" spans="1:12" s="106" customFormat="1" ht="18.75" hidden="1" customHeight="1" x14ac:dyDescent="0.25">
      <c r="A38" s="321" t="s">
        <v>189</v>
      </c>
      <c r="B38" s="321"/>
      <c r="C38" s="321"/>
      <c r="D38" s="321"/>
      <c r="E38" s="321"/>
      <c r="F38" s="321"/>
    </row>
    <row r="39" spans="1:12" s="106" customFormat="1" ht="15.75" hidden="1" customHeight="1" thickBot="1" x14ac:dyDescent="0.3"/>
    <row r="40" spans="1:12" s="106" customFormat="1" ht="124.5" hidden="1" customHeight="1" thickBot="1" x14ac:dyDescent="0.3">
      <c r="A40" s="108" t="s">
        <v>0</v>
      </c>
      <c r="B40" s="181" t="s">
        <v>141</v>
      </c>
      <c r="C40" s="181" t="s">
        <v>146</v>
      </c>
      <c r="D40" s="181" t="s">
        <v>147</v>
      </c>
      <c r="E40" s="181" t="s">
        <v>148</v>
      </c>
      <c r="F40" s="181" t="s">
        <v>145</v>
      </c>
    </row>
    <row r="41" spans="1:12" s="106" customFormat="1" ht="19.5" hidden="1" customHeight="1" thickBot="1" x14ac:dyDescent="0.3">
      <c r="A41" s="210">
        <v>1</v>
      </c>
      <c r="B41" s="184">
        <v>2</v>
      </c>
      <c r="C41" s="184">
        <v>3</v>
      </c>
      <c r="D41" s="184">
        <v>4</v>
      </c>
      <c r="E41" s="184">
        <v>5</v>
      </c>
      <c r="F41" s="184">
        <v>6</v>
      </c>
    </row>
    <row r="42" spans="1:12" s="106" customFormat="1" ht="51.75" hidden="1" customHeight="1" thickBot="1" x14ac:dyDescent="0.3">
      <c r="A42" s="210">
        <v>1</v>
      </c>
      <c r="B42" s="184" t="s">
        <v>320</v>
      </c>
      <c r="C42" s="184"/>
      <c r="D42" s="184"/>
      <c r="E42" s="109"/>
      <c r="F42" s="109">
        <f>C42*D42*E42</f>
        <v>0</v>
      </c>
    </row>
    <row r="43" spans="1:12" s="106" customFormat="1" ht="19.5" hidden="1" customHeight="1" thickBot="1" x14ac:dyDescent="0.3">
      <c r="A43" s="210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0</v>
      </c>
    </row>
    <row r="44" spans="1:12" s="106" customFormat="1" ht="15" hidden="1" customHeight="1" x14ac:dyDescent="0.25"/>
    <row r="45" spans="1:12" s="106" customFormat="1" ht="80.25" hidden="1" customHeight="1" x14ac:dyDescent="0.25">
      <c r="A45" s="321" t="s">
        <v>190</v>
      </c>
      <c r="B45" s="321"/>
      <c r="C45" s="321"/>
      <c r="D45" s="321"/>
      <c r="E45" s="321"/>
    </row>
    <row r="46" spans="1:12" s="106" customFormat="1" ht="15.75" hidden="1" customHeight="1" thickBot="1" x14ac:dyDescent="0.3"/>
    <row r="47" spans="1:12" s="106" customFormat="1" ht="144.75" hidden="1" customHeight="1" thickBot="1" x14ac:dyDescent="0.3">
      <c r="A47" s="108" t="s">
        <v>0</v>
      </c>
      <c r="B47" s="181" t="s">
        <v>149</v>
      </c>
      <c r="C47" s="181" t="s">
        <v>150</v>
      </c>
      <c r="D47" s="181" t="s">
        <v>151</v>
      </c>
    </row>
    <row r="48" spans="1:12" s="106" customFormat="1" ht="19.5" hidden="1" customHeight="1" thickBot="1" x14ac:dyDescent="0.3">
      <c r="A48" s="210">
        <v>1</v>
      </c>
      <c r="B48" s="184">
        <v>2</v>
      </c>
      <c r="C48" s="184">
        <v>3</v>
      </c>
      <c r="D48" s="184">
        <v>4</v>
      </c>
    </row>
    <row r="49" spans="1:6" s="106" customFormat="1" ht="113.25" hidden="1" customHeight="1" thickBot="1" x14ac:dyDescent="0.3">
      <c r="A49" s="210">
        <v>1</v>
      </c>
      <c r="B49" s="111" t="s">
        <v>152</v>
      </c>
      <c r="C49" s="184" t="s">
        <v>140</v>
      </c>
      <c r="D49" s="71"/>
    </row>
    <row r="50" spans="1:6" s="106" customFormat="1" ht="18.75" hidden="1" customHeight="1" x14ac:dyDescent="0.25">
      <c r="A50" s="289" t="s">
        <v>153</v>
      </c>
      <c r="B50" s="112" t="s">
        <v>22</v>
      </c>
      <c r="C50" s="289"/>
      <c r="D50" s="276"/>
    </row>
    <row r="51" spans="1:6" s="106" customFormat="1" ht="19.5" hidden="1" customHeight="1" thickBot="1" x14ac:dyDescent="0.3">
      <c r="A51" s="281"/>
      <c r="B51" s="113" t="s">
        <v>154</v>
      </c>
      <c r="C51" s="281"/>
      <c r="D51" s="277"/>
    </row>
    <row r="52" spans="1:6" s="106" customFormat="1" ht="19.5" hidden="1" customHeight="1" thickBot="1" x14ac:dyDescent="0.3">
      <c r="A52" s="210" t="s">
        <v>155</v>
      </c>
      <c r="B52" s="114" t="s">
        <v>156</v>
      </c>
      <c r="C52" s="184"/>
      <c r="D52" s="71"/>
    </row>
    <row r="53" spans="1:6" s="106" customFormat="1" ht="120.75" hidden="1" customHeight="1" thickBot="1" x14ac:dyDescent="0.3">
      <c r="A53" s="210">
        <v>2</v>
      </c>
      <c r="B53" s="111" t="s">
        <v>157</v>
      </c>
      <c r="C53" s="184" t="s">
        <v>140</v>
      </c>
      <c r="D53" s="71"/>
    </row>
    <row r="54" spans="1:6" s="106" customFormat="1" ht="164.25" hidden="1" customHeight="1" thickBot="1" x14ac:dyDescent="0.3">
      <c r="A54" s="210">
        <v>3</v>
      </c>
      <c r="B54" s="111" t="s">
        <v>158</v>
      </c>
      <c r="C54" s="71">
        <f>J28</f>
        <v>0</v>
      </c>
      <c r="D54" s="71">
        <f>C54*5.1%</f>
        <v>0</v>
      </c>
    </row>
    <row r="55" spans="1:6" s="106" customFormat="1" ht="19.5" hidden="1" customHeight="1" thickBot="1" x14ac:dyDescent="0.3">
      <c r="A55" s="210"/>
      <c r="B55" s="126" t="s">
        <v>139</v>
      </c>
      <c r="C55" s="85" t="s">
        <v>140</v>
      </c>
      <c r="D55" s="86">
        <f>D50+D53+D54</f>
        <v>0</v>
      </c>
    </row>
    <row r="56" spans="1:6" s="106" customFormat="1" ht="15" hidden="1" customHeight="1" x14ac:dyDescent="0.25"/>
    <row r="57" spans="1:6" s="106" customFormat="1" ht="36" hidden="1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ht="15" hidden="1" customHeight="1" x14ac:dyDescent="0.25"/>
    <row r="59" spans="1:6" s="106" customFormat="1" ht="18.75" hidden="1" customHeight="1" x14ac:dyDescent="0.25">
      <c r="A59" s="332" t="s">
        <v>192</v>
      </c>
      <c r="B59" s="332"/>
      <c r="C59" s="332"/>
      <c r="D59" s="332"/>
      <c r="E59" s="332"/>
      <c r="F59" s="332"/>
    </row>
    <row r="60" spans="1:6" s="106" customFormat="1" ht="18.75" hidden="1" customHeight="1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9.5" hidden="1" customHeight="1" thickBot="1" x14ac:dyDescent="0.3">
      <c r="A61" s="115"/>
    </row>
    <row r="62" spans="1:6" s="106" customFormat="1" ht="108" hidden="1" customHeight="1" thickBot="1" x14ac:dyDescent="0.3">
      <c r="A62" s="108" t="s">
        <v>0</v>
      </c>
      <c r="B62" s="181" t="s">
        <v>1</v>
      </c>
      <c r="C62" s="181" t="s">
        <v>159</v>
      </c>
      <c r="D62" s="181" t="s">
        <v>160</v>
      </c>
      <c r="E62" s="181" t="s">
        <v>161</v>
      </c>
    </row>
    <row r="63" spans="1:6" s="106" customFormat="1" ht="19.5" hidden="1" customHeight="1" thickBot="1" x14ac:dyDescent="0.3">
      <c r="A63" s="210">
        <v>1</v>
      </c>
      <c r="B63" s="184">
        <v>2</v>
      </c>
      <c r="C63" s="184">
        <v>3</v>
      </c>
      <c r="D63" s="184">
        <v>4</v>
      </c>
      <c r="E63" s="184">
        <v>5</v>
      </c>
    </row>
    <row r="64" spans="1:6" s="106" customFormat="1" ht="19.5" hidden="1" customHeight="1" thickBot="1" x14ac:dyDescent="0.3">
      <c r="A64" s="210"/>
      <c r="B64" s="184"/>
      <c r="C64" s="184"/>
      <c r="D64" s="184"/>
      <c r="E64" s="184"/>
    </row>
    <row r="65" spans="1:9" s="106" customFormat="1" ht="19.5" hidden="1" customHeight="1" thickBot="1" x14ac:dyDescent="0.3">
      <c r="A65" s="210"/>
      <c r="B65" s="126" t="s">
        <v>139</v>
      </c>
      <c r="C65" s="85" t="s">
        <v>140</v>
      </c>
      <c r="D65" s="85" t="s">
        <v>140</v>
      </c>
      <c r="E65" s="85"/>
    </row>
    <row r="66" spans="1:9" s="106" customFormat="1" ht="9" hidden="1" customHeight="1" x14ac:dyDescent="0.25"/>
    <row r="67" spans="1:9" s="106" customFormat="1" hidden="1" x14ac:dyDescent="0.25"/>
    <row r="68" spans="1:9" s="106" customFormat="1" ht="18.75" hidden="1" x14ac:dyDescent="0.25">
      <c r="A68" s="326" t="s">
        <v>194</v>
      </c>
      <c r="B68" s="326"/>
      <c r="C68" s="326"/>
      <c r="D68" s="326"/>
      <c r="E68" s="326"/>
      <c r="F68" s="326"/>
      <c r="G68" s="326"/>
    </row>
    <row r="69" spans="1:9" s="106" customFormat="1" ht="18.75" hidden="1" x14ac:dyDescent="0.25">
      <c r="A69" s="116"/>
    </row>
    <row r="70" spans="1:9" s="106" customFormat="1" ht="18.75" hidden="1" x14ac:dyDescent="0.25">
      <c r="A70" s="115"/>
    </row>
    <row r="71" spans="1:9" s="106" customFormat="1" ht="18.75" hidden="1" x14ac:dyDescent="0.25">
      <c r="A71" s="332" t="s">
        <v>312</v>
      </c>
      <c r="B71" s="332"/>
      <c r="C71" s="332"/>
      <c r="D71" s="332"/>
      <c r="E71" s="332"/>
      <c r="F71" s="332"/>
      <c r="G71" s="332"/>
    </row>
    <row r="72" spans="1:9" s="106" customFormat="1" ht="18.75" hidden="1" x14ac:dyDescent="0.25">
      <c r="A72" s="332" t="s">
        <v>311</v>
      </c>
      <c r="B72" s="332"/>
      <c r="C72" s="332"/>
      <c r="D72" s="332"/>
      <c r="E72" s="332"/>
      <c r="F72" s="332"/>
      <c r="G72" s="332"/>
    </row>
    <row r="73" spans="1:9" s="106" customFormat="1" ht="19.5" hidden="1" thickBot="1" x14ac:dyDescent="0.3">
      <c r="A73" s="115"/>
    </row>
    <row r="74" spans="1:9" s="106" customFormat="1" ht="141.75" hidden="1" customHeight="1" thickBot="1" x14ac:dyDescent="0.3">
      <c r="A74" s="108" t="s">
        <v>0</v>
      </c>
      <c r="B74" s="181" t="s">
        <v>141</v>
      </c>
      <c r="C74" s="181" t="s">
        <v>162</v>
      </c>
      <c r="D74" s="181" t="s">
        <v>163</v>
      </c>
      <c r="E74" s="181" t="s">
        <v>164</v>
      </c>
    </row>
    <row r="75" spans="1:9" s="106" customFormat="1" ht="19.5" hidden="1" thickBot="1" x14ac:dyDescent="0.3">
      <c r="A75" s="210">
        <v>1</v>
      </c>
      <c r="B75" s="184">
        <v>2</v>
      </c>
      <c r="C75" s="184">
        <v>3</v>
      </c>
      <c r="D75" s="184">
        <v>4</v>
      </c>
      <c r="E75" s="184">
        <v>5</v>
      </c>
    </row>
    <row r="76" spans="1:9" s="106" customFormat="1" ht="19.5" hidden="1" thickBot="1" x14ac:dyDescent="0.3">
      <c r="A76" s="210">
        <v>1</v>
      </c>
      <c r="B76" s="184" t="s">
        <v>309</v>
      </c>
      <c r="C76" s="129"/>
      <c r="D76" s="129"/>
      <c r="E76" s="129"/>
      <c r="H76" s="117"/>
    </row>
    <row r="77" spans="1:9" s="106" customFormat="1" ht="27" hidden="1" customHeight="1" thickBot="1" x14ac:dyDescent="0.3">
      <c r="A77" s="210">
        <v>2</v>
      </c>
      <c r="B77" s="184" t="s">
        <v>310</v>
      </c>
      <c r="C77" s="129"/>
      <c r="D77" s="129"/>
      <c r="E77" s="129"/>
    </row>
    <row r="78" spans="1:9" s="106" customFormat="1" ht="19.5" hidden="1" thickBot="1" x14ac:dyDescent="0.3">
      <c r="A78" s="210"/>
      <c r="B78" s="126" t="s">
        <v>139</v>
      </c>
      <c r="C78" s="130"/>
      <c r="D78" s="130" t="s">
        <v>140</v>
      </c>
      <c r="E78" s="130">
        <f>E77+E76</f>
        <v>0</v>
      </c>
    </row>
    <row r="79" spans="1:9" s="106" customFormat="1" x14ac:dyDescent="0.25"/>
    <row r="80" spans="1:9" s="106" customFormat="1" ht="18.75" x14ac:dyDescent="0.25">
      <c r="A80" s="326" t="s">
        <v>362</v>
      </c>
      <c r="B80" s="326"/>
      <c r="C80" s="326"/>
      <c r="D80" s="326"/>
      <c r="E80" s="326"/>
      <c r="F80" s="326"/>
      <c r="G80" s="326"/>
      <c r="H80" s="326"/>
      <c r="I80" s="326"/>
    </row>
    <row r="81" spans="1:7" s="106" customFormat="1" ht="18.75" x14ac:dyDescent="0.25">
      <c r="A81" s="116"/>
    </row>
    <row r="82" spans="1:7" s="106" customFormat="1" ht="18.75" x14ac:dyDescent="0.25">
      <c r="A82" s="118" t="s">
        <v>344</v>
      </c>
    </row>
    <row r="83" spans="1:7" s="106" customFormat="1" ht="18.75" x14ac:dyDescent="0.25">
      <c r="A83" s="215" t="s">
        <v>363</v>
      </c>
      <c r="B83" s="215"/>
      <c r="C83" s="215"/>
      <c r="D83" s="215"/>
      <c r="E83" s="215"/>
      <c r="F83" s="215"/>
      <c r="G83" s="215"/>
    </row>
    <row r="84" spans="1:7" s="106" customFormat="1" ht="18.75" x14ac:dyDescent="0.25">
      <c r="A84" s="118"/>
    </row>
    <row r="85" spans="1:7" s="106" customFormat="1" ht="18.75" hidden="1" x14ac:dyDescent="0.25">
      <c r="A85" s="326" t="s">
        <v>165</v>
      </c>
      <c r="B85" s="326"/>
      <c r="C85" s="326"/>
      <c r="D85" s="326"/>
      <c r="E85" s="326"/>
      <c r="F85" s="326"/>
    </row>
    <row r="86" spans="1:7" s="106" customFormat="1" hidden="1" x14ac:dyDescent="0.25"/>
    <row r="87" spans="1:7" s="106" customFormat="1" ht="57" hidden="1" thickBot="1" x14ac:dyDescent="0.3">
      <c r="A87" s="108" t="s">
        <v>0</v>
      </c>
      <c r="B87" s="181" t="s">
        <v>141</v>
      </c>
      <c r="C87" s="181" t="s">
        <v>166</v>
      </c>
      <c r="D87" s="181" t="s">
        <v>167</v>
      </c>
      <c r="E87" s="181" t="s">
        <v>168</v>
      </c>
      <c r="F87" s="181" t="s">
        <v>145</v>
      </c>
    </row>
    <row r="88" spans="1:7" s="106" customFormat="1" ht="19.5" hidden="1" thickBot="1" x14ac:dyDescent="0.3">
      <c r="A88" s="210">
        <v>1</v>
      </c>
      <c r="B88" s="184">
        <v>2</v>
      </c>
      <c r="C88" s="184">
        <v>3</v>
      </c>
      <c r="D88" s="184">
        <v>4</v>
      </c>
      <c r="E88" s="184">
        <v>5</v>
      </c>
      <c r="F88" s="184">
        <v>6</v>
      </c>
    </row>
    <row r="89" spans="1:7" s="106" customFormat="1" ht="38.25" hidden="1" thickBot="1" x14ac:dyDescent="0.3">
      <c r="A89" s="210">
        <v>1</v>
      </c>
      <c r="B89" s="184" t="s">
        <v>313</v>
      </c>
      <c r="C89" s="184"/>
      <c r="D89" s="184"/>
      <c r="E89" s="129"/>
      <c r="F89" s="129">
        <f>C89*D89*E89</f>
        <v>0</v>
      </c>
    </row>
    <row r="90" spans="1:7" s="106" customFormat="1" ht="19.5" hidden="1" thickBot="1" x14ac:dyDescent="0.3">
      <c r="A90" s="210"/>
      <c r="B90" s="126" t="s">
        <v>139</v>
      </c>
      <c r="C90" s="85" t="s">
        <v>140</v>
      </c>
      <c r="D90" s="85" t="s">
        <v>140</v>
      </c>
      <c r="E90" s="85" t="s">
        <v>140</v>
      </c>
      <c r="F90" s="130">
        <f>F89</f>
        <v>0</v>
      </c>
    </row>
    <row r="91" spans="1:7" s="106" customFormat="1" hidden="1" x14ac:dyDescent="0.25"/>
    <row r="92" spans="1:7" s="106" customFormat="1" ht="30" hidden="1" customHeight="1" x14ac:dyDescent="0.25">
      <c r="A92" s="326" t="s">
        <v>169</v>
      </c>
      <c r="B92" s="326"/>
      <c r="C92" s="326"/>
      <c r="D92" s="326"/>
      <c r="E92" s="326"/>
      <c r="F92" s="326"/>
    </row>
    <row r="93" spans="1:7" s="106" customFormat="1" hidden="1" x14ac:dyDescent="0.25"/>
    <row r="94" spans="1:7" s="106" customFormat="1" ht="57" hidden="1" thickBot="1" x14ac:dyDescent="0.3">
      <c r="A94" s="108" t="s">
        <v>0</v>
      </c>
      <c r="B94" s="181" t="s">
        <v>141</v>
      </c>
      <c r="C94" s="181" t="s">
        <v>170</v>
      </c>
      <c r="D94" s="181" t="s">
        <v>171</v>
      </c>
      <c r="E94" s="181" t="s">
        <v>172</v>
      </c>
    </row>
    <row r="95" spans="1:7" s="106" customFormat="1" ht="19.5" hidden="1" thickBot="1" x14ac:dyDescent="0.3">
      <c r="A95" s="210">
        <v>1</v>
      </c>
      <c r="B95" s="184">
        <v>2</v>
      </c>
      <c r="C95" s="184">
        <v>3</v>
      </c>
      <c r="D95" s="184">
        <v>4</v>
      </c>
      <c r="E95" s="184">
        <v>5</v>
      </c>
    </row>
    <row r="96" spans="1:7" s="106" customFormat="1" ht="19.5" hidden="1" thickBot="1" x14ac:dyDescent="0.3">
      <c r="A96" s="210"/>
      <c r="B96" s="184"/>
      <c r="C96" s="109">
        <v>0</v>
      </c>
      <c r="D96" s="109">
        <v>0</v>
      </c>
      <c r="E96" s="109">
        <f>C96*D96</f>
        <v>0</v>
      </c>
    </row>
    <row r="97" spans="1:7" s="106" customFormat="1" ht="19.5" hidden="1" thickBot="1" x14ac:dyDescent="0.3">
      <c r="A97" s="210"/>
      <c r="B97" s="134" t="s">
        <v>139</v>
      </c>
      <c r="C97" s="135">
        <f>C96</f>
        <v>0</v>
      </c>
      <c r="D97" s="135">
        <f>D96</f>
        <v>0</v>
      </c>
      <c r="E97" s="135">
        <f>E96</f>
        <v>0</v>
      </c>
    </row>
    <row r="98" spans="1:7" s="106" customFormat="1" hidden="1" x14ac:dyDescent="0.25"/>
    <row r="99" spans="1:7" s="106" customFormat="1" ht="18.75" hidden="1" x14ac:dyDescent="0.25">
      <c r="A99" s="326" t="s">
        <v>173</v>
      </c>
      <c r="B99" s="326"/>
      <c r="C99" s="326"/>
      <c r="D99" s="326"/>
      <c r="E99" s="326"/>
      <c r="F99" s="326"/>
    </row>
    <row r="100" spans="1:7" s="106" customFormat="1" hidden="1" x14ac:dyDescent="0.25"/>
    <row r="101" spans="1:7" s="106" customFormat="1" ht="57" hidden="1" thickBot="1" x14ac:dyDescent="0.3">
      <c r="A101" s="108" t="s">
        <v>0</v>
      </c>
      <c r="B101" s="181" t="s">
        <v>1</v>
      </c>
      <c r="C101" s="181" t="s">
        <v>349</v>
      </c>
      <c r="D101" s="181" t="s">
        <v>345</v>
      </c>
      <c r="E101" s="181" t="s">
        <v>174</v>
      </c>
      <c r="F101" s="181" t="s">
        <v>175</v>
      </c>
      <c r="G101" s="181" t="s">
        <v>351</v>
      </c>
    </row>
    <row r="102" spans="1:7" s="106" customFormat="1" ht="19.5" hidden="1" thickBot="1" x14ac:dyDescent="0.3">
      <c r="A102" s="210">
        <v>1</v>
      </c>
      <c r="B102" s="184">
        <v>2</v>
      </c>
      <c r="C102" s="184">
        <v>3</v>
      </c>
      <c r="D102" s="184">
        <v>4</v>
      </c>
      <c r="E102" s="184">
        <v>5</v>
      </c>
      <c r="F102" s="184">
        <v>6</v>
      </c>
      <c r="G102" s="184">
        <v>7</v>
      </c>
    </row>
    <row r="103" spans="1:7" s="106" customFormat="1" ht="47.25" hidden="1" customHeight="1" thickBot="1" x14ac:dyDescent="0.3">
      <c r="A103" s="210">
        <v>1</v>
      </c>
      <c r="B103" s="210" t="s">
        <v>314</v>
      </c>
      <c r="C103" s="109" t="s">
        <v>350</v>
      </c>
      <c r="D103" s="109"/>
      <c r="E103" s="109"/>
      <c r="F103" s="184"/>
      <c r="G103" s="119"/>
    </row>
    <row r="104" spans="1:7" s="106" customFormat="1" ht="47.25" hidden="1" customHeight="1" thickBot="1" x14ac:dyDescent="0.3">
      <c r="A104" s="210">
        <v>2</v>
      </c>
      <c r="B104" s="210" t="s">
        <v>315</v>
      </c>
      <c r="C104" s="109" t="s">
        <v>350</v>
      </c>
      <c r="D104" s="109"/>
      <c r="E104" s="109"/>
      <c r="F104" s="184"/>
      <c r="G104" s="119"/>
    </row>
    <row r="105" spans="1:7" s="106" customFormat="1" ht="47.25" hidden="1" customHeight="1" thickBot="1" x14ac:dyDescent="0.3">
      <c r="A105" s="210">
        <v>3</v>
      </c>
      <c r="B105" s="210" t="s">
        <v>316</v>
      </c>
      <c r="C105" s="109" t="s">
        <v>352</v>
      </c>
      <c r="D105" s="109"/>
      <c r="E105" s="109"/>
      <c r="F105" s="184"/>
      <c r="G105" s="119"/>
    </row>
    <row r="106" spans="1:7" s="106" customFormat="1" ht="47.25" hidden="1" customHeight="1" thickBot="1" x14ac:dyDescent="0.3">
      <c r="A106" s="210">
        <v>4</v>
      </c>
      <c r="B106" s="210" t="s">
        <v>317</v>
      </c>
      <c r="C106" s="109" t="s">
        <v>353</v>
      </c>
      <c r="D106" s="109"/>
      <c r="E106" s="109"/>
      <c r="F106" s="184"/>
      <c r="G106" s="119"/>
    </row>
    <row r="107" spans="1:7" s="106" customFormat="1" ht="47.25" hidden="1" customHeight="1" thickBot="1" x14ac:dyDescent="0.3">
      <c r="A107" s="210">
        <v>5</v>
      </c>
      <c r="B107" s="210" t="s">
        <v>318</v>
      </c>
      <c r="C107" s="109" t="s">
        <v>353</v>
      </c>
      <c r="D107" s="109"/>
      <c r="E107" s="109"/>
      <c r="F107" s="184"/>
      <c r="G107" s="119"/>
    </row>
    <row r="108" spans="1:7" s="106" customFormat="1" ht="47.25" hidden="1" customHeight="1" thickBot="1" x14ac:dyDescent="0.3">
      <c r="A108" s="210">
        <v>6</v>
      </c>
      <c r="B108" s="210" t="s">
        <v>319</v>
      </c>
      <c r="C108" s="109" t="s">
        <v>353</v>
      </c>
      <c r="D108" s="109"/>
      <c r="E108" s="109"/>
      <c r="F108" s="184"/>
      <c r="G108" s="119"/>
    </row>
    <row r="109" spans="1:7" s="106" customFormat="1" ht="19.5" hidden="1" thickBot="1" x14ac:dyDescent="0.3">
      <c r="A109" s="210"/>
      <c r="B109" s="126" t="s">
        <v>139</v>
      </c>
      <c r="C109" s="85" t="s">
        <v>140</v>
      </c>
      <c r="D109" s="85" t="s">
        <v>140</v>
      </c>
      <c r="E109" s="85" t="s">
        <v>140</v>
      </c>
      <c r="F109" s="85" t="s">
        <v>140</v>
      </c>
      <c r="G109" s="133">
        <f>G108+G107+G106+G105+G104+G103</f>
        <v>0</v>
      </c>
    </row>
    <row r="110" spans="1:7" s="106" customFormat="1" hidden="1" x14ac:dyDescent="0.25"/>
    <row r="111" spans="1:7" s="106" customFormat="1" ht="18.75" hidden="1" x14ac:dyDescent="0.25">
      <c r="A111" s="326" t="s">
        <v>176</v>
      </c>
      <c r="B111" s="326"/>
      <c r="C111" s="326"/>
      <c r="D111" s="326"/>
      <c r="E111" s="326"/>
      <c r="F111" s="118"/>
    </row>
    <row r="112" spans="1:7" s="106" customFormat="1" hidden="1" x14ac:dyDescent="0.25"/>
    <row r="113" spans="1:5" s="106" customFormat="1" ht="57" hidden="1" thickBot="1" x14ac:dyDescent="0.3">
      <c r="A113" s="108" t="s">
        <v>0</v>
      </c>
      <c r="B113" s="181" t="s">
        <v>1</v>
      </c>
      <c r="C113" s="181" t="s">
        <v>177</v>
      </c>
      <c r="D113" s="181" t="s">
        <v>178</v>
      </c>
      <c r="E113" s="181" t="s">
        <v>179</v>
      </c>
    </row>
    <row r="114" spans="1:5" s="106" customFormat="1" ht="19.5" hidden="1" thickBot="1" x14ac:dyDescent="0.3">
      <c r="A114" s="210">
        <v>1</v>
      </c>
      <c r="B114" s="184">
        <v>2</v>
      </c>
      <c r="C114" s="184">
        <v>3</v>
      </c>
      <c r="D114" s="184">
        <v>4</v>
      </c>
      <c r="E114" s="184">
        <v>5</v>
      </c>
    </row>
    <row r="115" spans="1:5" s="106" customFormat="1" ht="19.5" hidden="1" thickBot="1" x14ac:dyDescent="0.3">
      <c r="A115" s="210"/>
      <c r="B115" s="184"/>
      <c r="C115" s="184"/>
      <c r="D115" s="184"/>
      <c r="E115" s="184"/>
    </row>
    <row r="116" spans="1:5" s="106" customFormat="1" ht="19.5" hidden="1" thickBot="1" x14ac:dyDescent="0.3">
      <c r="A116" s="210"/>
      <c r="B116" s="110" t="s">
        <v>139</v>
      </c>
      <c r="C116" s="184" t="s">
        <v>140</v>
      </c>
      <c r="D116" s="184" t="s">
        <v>140</v>
      </c>
      <c r="E116" s="184" t="s">
        <v>140</v>
      </c>
    </row>
    <row r="117" spans="1:5" s="106" customFormat="1" hidden="1" x14ac:dyDescent="0.25"/>
    <row r="118" spans="1:5" s="106" customFormat="1" ht="39.75" hidden="1" customHeight="1" x14ac:dyDescent="0.25">
      <c r="A118" s="321" t="s">
        <v>195</v>
      </c>
      <c r="B118" s="321"/>
      <c r="C118" s="321"/>
      <c r="D118" s="321"/>
      <c r="E118" s="321"/>
    </row>
    <row r="119" spans="1:5" s="106" customFormat="1" ht="18.75" hidden="1" x14ac:dyDescent="0.25">
      <c r="A119" s="115"/>
    </row>
    <row r="120" spans="1:5" s="106" customFormat="1" ht="57" hidden="1" thickBot="1" x14ac:dyDescent="0.3">
      <c r="A120" s="108" t="s">
        <v>0</v>
      </c>
      <c r="B120" s="181" t="s">
        <v>141</v>
      </c>
      <c r="C120" s="181" t="s">
        <v>180</v>
      </c>
      <c r="D120" s="181" t="s">
        <v>181</v>
      </c>
      <c r="E120" s="181" t="s">
        <v>182</v>
      </c>
    </row>
    <row r="121" spans="1:5" s="106" customFormat="1" ht="19.5" hidden="1" thickBot="1" x14ac:dyDescent="0.3">
      <c r="A121" s="210">
        <v>1</v>
      </c>
      <c r="B121" s="184">
        <v>2</v>
      </c>
      <c r="C121" s="184">
        <v>3</v>
      </c>
      <c r="D121" s="184">
        <v>4</v>
      </c>
      <c r="E121" s="184">
        <v>5</v>
      </c>
    </row>
    <row r="122" spans="1:5" s="106" customFormat="1" ht="19.5" hidden="1" thickBot="1" x14ac:dyDescent="0.3">
      <c r="A122" s="210">
        <v>1</v>
      </c>
      <c r="B122" s="120" t="s">
        <v>321</v>
      </c>
      <c r="C122" s="184"/>
      <c r="D122" s="184"/>
      <c r="E122" s="129"/>
    </row>
    <row r="123" spans="1:5" s="106" customFormat="1" ht="19.5" hidden="1" thickBot="1" x14ac:dyDescent="0.3">
      <c r="A123" s="210">
        <v>2</v>
      </c>
      <c r="B123" s="120" t="s">
        <v>322</v>
      </c>
      <c r="C123" s="184"/>
      <c r="D123" s="184"/>
      <c r="E123" s="129"/>
    </row>
    <row r="124" spans="1:5" s="106" customFormat="1" ht="19.5" hidden="1" thickBot="1" x14ac:dyDescent="0.3">
      <c r="A124" s="210">
        <v>3</v>
      </c>
      <c r="B124" s="120" t="s">
        <v>323</v>
      </c>
      <c r="C124" s="184"/>
      <c r="D124" s="184"/>
      <c r="E124" s="129"/>
    </row>
    <row r="125" spans="1:5" s="106" customFormat="1" ht="38.25" hidden="1" thickBot="1" x14ac:dyDescent="0.3">
      <c r="A125" s="210">
        <v>4</v>
      </c>
      <c r="B125" s="120" t="s">
        <v>324</v>
      </c>
      <c r="C125" s="184"/>
      <c r="D125" s="184"/>
      <c r="E125" s="129"/>
    </row>
    <row r="126" spans="1:5" s="106" customFormat="1" ht="24.75" hidden="1" customHeight="1" thickBot="1" x14ac:dyDescent="0.3">
      <c r="A126" s="210">
        <v>5</v>
      </c>
      <c r="B126" s="120" t="s">
        <v>325</v>
      </c>
      <c r="C126" s="184"/>
      <c r="D126" s="184"/>
      <c r="E126" s="129"/>
    </row>
    <row r="127" spans="1:5" s="106" customFormat="1" ht="57" hidden="1" thickBot="1" x14ac:dyDescent="0.3">
      <c r="A127" s="210">
        <v>6</v>
      </c>
      <c r="B127" s="120" t="s">
        <v>326</v>
      </c>
      <c r="C127" s="184"/>
      <c r="D127" s="184"/>
      <c r="E127" s="129"/>
    </row>
    <row r="128" spans="1:5" s="106" customFormat="1" ht="19.5" hidden="1" thickBot="1" x14ac:dyDescent="0.3">
      <c r="A128" s="210">
        <v>7</v>
      </c>
      <c r="B128" s="120" t="s">
        <v>327</v>
      </c>
      <c r="C128" s="184"/>
      <c r="D128" s="184"/>
      <c r="E128" s="129"/>
    </row>
    <row r="129" spans="1:5" s="106" customFormat="1" ht="38.25" hidden="1" thickBot="1" x14ac:dyDescent="0.3">
      <c r="A129" s="210">
        <v>8</v>
      </c>
      <c r="B129" s="120" t="s">
        <v>328</v>
      </c>
      <c r="C129" s="184"/>
      <c r="D129" s="184"/>
      <c r="E129" s="129"/>
    </row>
    <row r="130" spans="1:5" s="106" customFormat="1" ht="38.25" hidden="1" thickBot="1" x14ac:dyDescent="0.3">
      <c r="A130" s="210">
        <v>9</v>
      </c>
      <c r="B130" s="120" t="s">
        <v>346</v>
      </c>
      <c r="C130" s="184"/>
      <c r="D130" s="184"/>
      <c r="E130" s="129"/>
    </row>
    <row r="131" spans="1:5" s="106" customFormat="1" ht="38.25" hidden="1" thickBot="1" x14ac:dyDescent="0.3">
      <c r="A131" s="210">
        <v>10</v>
      </c>
      <c r="B131" s="120" t="s">
        <v>329</v>
      </c>
      <c r="C131" s="184"/>
      <c r="D131" s="184"/>
      <c r="E131" s="129"/>
    </row>
    <row r="132" spans="1:5" s="106" customFormat="1" ht="57" hidden="1" thickBot="1" x14ac:dyDescent="0.3">
      <c r="A132" s="210">
        <v>11</v>
      </c>
      <c r="B132" s="120" t="s">
        <v>330</v>
      </c>
      <c r="C132" s="184"/>
      <c r="D132" s="184"/>
      <c r="E132" s="129"/>
    </row>
    <row r="133" spans="1:5" s="106" customFormat="1" ht="27" hidden="1" customHeight="1" thickBot="1" x14ac:dyDescent="0.3">
      <c r="A133" s="210"/>
      <c r="B133" s="184"/>
      <c r="C133" s="184"/>
      <c r="D133" s="184"/>
      <c r="E133" s="129"/>
    </row>
    <row r="134" spans="1:5" s="106" customFormat="1" ht="19.5" hidden="1" thickBot="1" x14ac:dyDescent="0.3">
      <c r="A134" s="210"/>
      <c r="B134" s="184"/>
      <c r="C134" s="184"/>
      <c r="D134" s="184"/>
      <c r="E134" s="129"/>
    </row>
    <row r="135" spans="1:5" s="106" customFormat="1" ht="19.5" hidden="1" thickBot="1" x14ac:dyDescent="0.3">
      <c r="A135" s="210"/>
      <c r="B135" s="126" t="s">
        <v>139</v>
      </c>
      <c r="C135" s="85" t="s">
        <v>140</v>
      </c>
      <c r="D135" s="85" t="s">
        <v>140</v>
      </c>
      <c r="E135" s="130">
        <f>SUM(E122:E134)</f>
        <v>0</v>
      </c>
    </row>
    <row r="136" spans="1:5" s="106" customFormat="1" hidden="1" x14ac:dyDescent="0.25"/>
    <row r="137" spans="1:5" s="106" customFormat="1" ht="37.5" hidden="1" customHeight="1" x14ac:dyDescent="0.25">
      <c r="A137" s="321" t="s">
        <v>183</v>
      </c>
      <c r="B137" s="321"/>
      <c r="C137" s="321"/>
      <c r="D137" s="321"/>
      <c r="E137" s="321"/>
    </row>
    <row r="138" spans="1:5" s="106" customFormat="1" ht="18.75" hidden="1" x14ac:dyDescent="0.25">
      <c r="A138" s="115"/>
    </row>
    <row r="139" spans="1:5" s="106" customFormat="1" ht="38.25" hidden="1" thickBot="1" x14ac:dyDescent="0.3">
      <c r="A139" s="108" t="s">
        <v>0</v>
      </c>
      <c r="B139" s="181" t="s">
        <v>141</v>
      </c>
      <c r="C139" s="181" t="s">
        <v>184</v>
      </c>
      <c r="D139" s="181" t="s">
        <v>185</v>
      </c>
    </row>
    <row r="140" spans="1:5" s="106" customFormat="1" ht="19.5" hidden="1" thickBot="1" x14ac:dyDescent="0.3">
      <c r="A140" s="210">
        <v>1</v>
      </c>
      <c r="B140" s="184">
        <v>2</v>
      </c>
      <c r="C140" s="184">
        <v>3</v>
      </c>
      <c r="D140" s="184">
        <v>4</v>
      </c>
    </row>
    <row r="141" spans="1:5" s="106" customFormat="1" ht="24.75" hidden="1" customHeight="1" thickBot="1" x14ac:dyDescent="0.3">
      <c r="A141" s="210">
        <v>1</v>
      </c>
      <c r="B141" s="120" t="s">
        <v>331</v>
      </c>
      <c r="C141" s="184"/>
      <c r="D141" s="129"/>
    </row>
    <row r="142" spans="1:5" s="106" customFormat="1" ht="24.75" hidden="1" customHeight="1" thickBot="1" x14ac:dyDescent="0.3">
      <c r="A142" s="210">
        <v>2</v>
      </c>
      <c r="B142" s="120" t="s">
        <v>332</v>
      </c>
      <c r="C142" s="184"/>
      <c r="D142" s="129"/>
    </row>
    <row r="143" spans="1:5" s="106" customFormat="1" ht="62.25" hidden="1" customHeight="1" thickBot="1" x14ac:dyDescent="0.3">
      <c r="A143" s="210">
        <v>3</v>
      </c>
      <c r="B143" s="120" t="s">
        <v>333</v>
      </c>
      <c r="C143" s="184"/>
      <c r="D143" s="129"/>
    </row>
    <row r="144" spans="1:5" s="106" customFormat="1" ht="24.75" hidden="1" customHeight="1" thickBot="1" x14ac:dyDescent="0.3">
      <c r="A144" s="210">
        <v>4</v>
      </c>
      <c r="B144" s="120" t="s">
        <v>334</v>
      </c>
      <c r="C144" s="184"/>
      <c r="D144" s="129"/>
    </row>
    <row r="145" spans="1:6" s="106" customFormat="1" ht="24.75" hidden="1" customHeight="1" thickBot="1" x14ac:dyDescent="0.3">
      <c r="A145" s="210"/>
      <c r="B145" s="184"/>
      <c r="C145" s="184"/>
      <c r="D145" s="129"/>
    </row>
    <row r="146" spans="1:6" s="106" customFormat="1" ht="19.5" hidden="1" thickBot="1" x14ac:dyDescent="0.3">
      <c r="A146" s="210"/>
      <c r="B146" s="184"/>
      <c r="C146" s="184"/>
      <c r="D146" s="129"/>
    </row>
    <row r="147" spans="1:6" s="106" customFormat="1" ht="19.5" hidden="1" thickBot="1" x14ac:dyDescent="0.3">
      <c r="A147" s="210"/>
      <c r="B147" s="184"/>
      <c r="C147" s="184"/>
      <c r="D147" s="129"/>
    </row>
    <row r="148" spans="1:6" s="106" customFormat="1" ht="19.5" hidden="1" thickBot="1" x14ac:dyDescent="0.3">
      <c r="A148" s="210"/>
      <c r="B148" s="126" t="s">
        <v>139</v>
      </c>
      <c r="C148" s="85" t="s">
        <v>140</v>
      </c>
      <c r="D148" s="130">
        <f>D147+D146+D145+D144+D143+D142+D141</f>
        <v>0</v>
      </c>
    </row>
    <row r="149" spans="1:6" s="106" customFormat="1" hidden="1" x14ac:dyDescent="0.25"/>
    <row r="150" spans="1:6" s="106" customFormat="1" ht="51" customHeight="1" x14ac:dyDescent="0.25">
      <c r="A150" s="321" t="s">
        <v>364</v>
      </c>
      <c r="B150" s="321"/>
      <c r="C150" s="321"/>
      <c r="D150" s="321"/>
      <c r="E150" s="321"/>
      <c r="F150" s="321"/>
    </row>
    <row r="151" spans="1:6" s="106" customFormat="1" ht="15.75" thickBot="1" x14ac:dyDescent="0.3"/>
    <row r="152" spans="1:6" s="106" customFormat="1" ht="57" thickBot="1" x14ac:dyDescent="0.3">
      <c r="A152" s="108" t="s">
        <v>0</v>
      </c>
      <c r="B152" s="181" t="s">
        <v>141</v>
      </c>
      <c r="C152" s="181" t="s">
        <v>365</v>
      </c>
      <c r="D152" s="181" t="s">
        <v>186</v>
      </c>
      <c r="E152" s="181" t="s">
        <v>187</v>
      </c>
    </row>
    <row r="153" spans="1:6" s="106" customFormat="1" ht="19.5" thickBot="1" x14ac:dyDescent="0.3">
      <c r="A153" s="210"/>
      <c r="B153" s="184">
        <v>1</v>
      </c>
      <c r="C153" s="184">
        <v>2</v>
      </c>
      <c r="D153" s="184">
        <v>3</v>
      </c>
      <c r="E153" s="184">
        <v>4</v>
      </c>
    </row>
    <row r="154" spans="1:6" s="106" customFormat="1" ht="49.5" customHeight="1" thickBot="1" x14ac:dyDescent="0.3">
      <c r="A154" s="210"/>
      <c r="B154" s="120" t="s">
        <v>340</v>
      </c>
      <c r="C154" s="184"/>
      <c r="D154" s="129"/>
      <c r="E154" s="129">
        <f>SUM(E155:E156)</f>
        <v>7638801.6689938009</v>
      </c>
    </row>
    <row r="155" spans="1:6" s="106" customFormat="1" ht="85.5" customHeight="1" thickBot="1" x14ac:dyDescent="0.3">
      <c r="A155" s="210"/>
      <c r="B155" s="120" t="s">
        <v>367</v>
      </c>
      <c r="C155" s="239">
        <v>34243.984660000002</v>
      </c>
      <c r="D155" s="129">
        <v>211.93</v>
      </c>
      <c r="E155" s="129">
        <f>C155*D155</f>
        <v>7257327.6689938009</v>
      </c>
    </row>
    <row r="156" spans="1:6" s="106" customFormat="1" ht="85.5" customHeight="1" thickBot="1" x14ac:dyDescent="0.3">
      <c r="A156" s="210"/>
      <c r="B156" s="120" t="s">
        <v>368</v>
      </c>
      <c r="C156" s="184">
        <v>3600</v>
      </c>
      <c r="D156" s="129">
        <f>D155/2</f>
        <v>105.965</v>
      </c>
      <c r="E156" s="129">
        <f>C156*D156</f>
        <v>381474</v>
      </c>
    </row>
    <row r="157" spans="1:6" s="106" customFormat="1" ht="50.25" customHeight="1" thickBot="1" x14ac:dyDescent="0.3">
      <c r="A157" s="212"/>
      <c r="B157" s="128" t="s">
        <v>348</v>
      </c>
      <c r="C157" s="85"/>
      <c r="D157" s="130"/>
      <c r="E157" s="130">
        <f>E154</f>
        <v>7638801.6689938009</v>
      </c>
      <c r="F157" s="204"/>
    </row>
    <row r="159" spans="1:6" x14ac:dyDescent="0.25">
      <c r="A159" t="s">
        <v>420</v>
      </c>
    </row>
    <row r="160" spans="1:6" x14ac:dyDescent="0.25">
      <c r="A160" t="s">
        <v>428</v>
      </c>
    </row>
  </sheetData>
  <mergeCells count="35">
    <mergeCell ref="A150:F150"/>
    <mergeCell ref="A80:I80"/>
    <mergeCell ref="A85:F85"/>
    <mergeCell ref="A92:F92"/>
    <mergeCell ref="A99:F99"/>
    <mergeCell ref="A111:E111"/>
    <mergeCell ref="A118:E118"/>
    <mergeCell ref="A137:E137"/>
    <mergeCell ref="A59:F59"/>
    <mergeCell ref="A60:F60"/>
    <mergeCell ref="A71:G71"/>
    <mergeCell ref="A72:G72"/>
    <mergeCell ref="A38:F38"/>
    <mergeCell ref="A45:E45"/>
    <mergeCell ref="A50:A51"/>
    <mergeCell ref="C50:C51"/>
    <mergeCell ref="D50:D51"/>
    <mergeCell ref="A57:F57"/>
    <mergeCell ref="A68:G68"/>
    <mergeCell ref="I20:I22"/>
    <mergeCell ref="J20:J22"/>
    <mergeCell ref="D21:D22"/>
    <mergeCell ref="E21:G21"/>
    <mergeCell ref="A28:B28"/>
    <mergeCell ref="H20:H22"/>
    <mergeCell ref="A31:F31"/>
    <mergeCell ref="A20:A22"/>
    <mergeCell ref="B20:B22"/>
    <mergeCell ref="C20:C22"/>
    <mergeCell ref="D20:G20"/>
    <mergeCell ref="A11:J11"/>
    <mergeCell ref="A13:J13"/>
    <mergeCell ref="A15:J15"/>
    <mergeCell ref="A16:J16"/>
    <mergeCell ref="A18:J1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0"/>
  <sheetViews>
    <sheetView view="pageBreakPreview" topLeftCell="A3" zoomScale="60" zoomScaleNormal="72" workbookViewId="0">
      <selection activeCell="K167" sqref="K167"/>
    </sheetView>
  </sheetViews>
  <sheetFormatPr defaultRowHeight="15" x14ac:dyDescent="0.25"/>
  <cols>
    <col min="1" max="1" width="8.5703125" customWidth="1"/>
    <col min="2" max="2" width="30.140625" customWidth="1"/>
    <col min="3" max="3" width="16.42578125" customWidth="1"/>
    <col min="4" max="4" width="17.140625" customWidth="1"/>
    <col min="5" max="5" width="19.85546875" customWidth="1"/>
    <col min="6" max="6" width="21.42578125" customWidth="1"/>
    <col min="7" max="7" width="19.85546875" customWidth="1"/>
    <col min="8" max="8" width="15.42578125" customWidth="1"/>
    <col min="9" max="9" width="15" customWidth="1"/>
    <col min="10" max="10" width="21.140625" customWidth="1"/>
    <col min="12" max="12" width="25.85546875" customWidth="1"/>
    <col min="13" max="13" width="18.7109375" customWidth="1"/>
    <col min="14" max="14" width="9.42578125" bestFit="1" customWidth="1"/>
    <col min="18" max="19" width="13.42578125" bestFit="1" customWidth="1"/>
  </cols>
  <sheetData>
    <row r="1" spans="1:10" ht="18.75" x14ac:dyDescent="0.25">
      <c r="J1" s="11" t="s">
        <v>119</v>
      </c>
    </row>
    <row r="2" spans="1:10" ht="18.75" x14ac:dyDescent="0.25">
      <c r="J2" s="11" t="s">
        <v>120</v>
      </c>
    </row>
    <row r="3" spans="1:10" ht="16.5" x14ac:dyDescent="0.25">
      <c r="J3" s="21" t="s">
        <v>121</v>
      </c>
    </row>
    <row r="4" spans="1:10" ht="16.5" x14ac:dyDescent="0.25">
      <c r="J4" s="21" t="s">
        <v>122</v>
      </c>
    </row>
    <row r="5" spans="1:10" ht="16.5" x14ac:dyDescent="0.25">
      <c r="J5" s="21" t="s">
        <v>123</v>
      </c>
    </row>
    <row r="6" spans="1:10" ht="16.5" x14ac:dyDescent="0.25">
      <c r="J6" s="21" t="s">
        <v>124</v>
      </c>
    </row>
    <row r="7" spans="1:10" ht="16.5" x14ac:dyDescent="0.25">
      <c r="J7" s="21" t="s">
        <v>125</v>
      </c>
    </row>
    <row r="8" spans="1:10" ht="16.5" x14ac:dyDescent="0.25">
      <c r="J8" s="21" t="s">
        <v>126</v>
      </c>
    </row>
    <row r="11" spans="1:10" ht="15" customHeight="1" x14ac:dyDescent="0.25">
      <c r="A11" s="263" t="s">
        <v>384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ht="18.75" x14ac:dyDescent="0.25">
      <c r="A12" s="104"/>
      <c r="B12" s="104"/>
      <c r="C12" s="171"/>
      <c r="D12" s="104"/>
      <c r="E12" s="104"/>
      <c r="F12" s="104"/>
      <c r="G12" s="104"/>
      <c r="H12" s="104"/>
      <c r="I12" s="104"/>
      <c r="J12" s="104"/>
    </row>
    <row r="13" spans="1:10" ht="18.75" hidden="1" x14ac:dyDescent="0.25">
      <c r="A13" s="263" t="s">
        <v>127</v>
      </c>
      <c r="B13" s="263"/>
      <c r="C13" s="263"/>
      <c r="D13" s="263"/>
      <c r="E13" s="263"/>
      <c r="F13" s="263"/>
      <c r="G13" s="263"/>
      <c r="H13" s="263"/>
      <c r="I13" s="263"/>
      <c r="J13" s="263"/>
    </row>
    <row r="14" spans="1:10" hidden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8.75" hidden="1" x14ac:dyDescent="0.25">
      <c r="A15" s="335" t="s">
        <v>342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21" hidden="1" customHeight="1" x14ac:dyDescent="0.25">
      <c r="A16" s="335" t="s">
        <v>343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9" ht="18.75" hidden="1" x14ac:dyDescent="0.25">
      <c r="A17" s="22"/>
    </row>
    <row r="18" spans="1:19" ht="18.75" hidden="1" x14ac:dyDescent="0.25">
      <c r="A18" s="263" t="s">
        <v>128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9" hidden="1" x14ac:dyDescent="0.25">
      <c r="I19">
        <v>1.6</v>
      </c>
    </row>
    <row r="20" spans="1:19" ht="36" hidden="1" customHeight="1" thickBot="1" x14ac:dyDescent="0.3">
      <c r="A20" s="273" t="s">
        <v>0</v>
      </c>
      <c r="B20" s="273" t="s">
        <v>129</v>
      </c>
      <c r="C20" s="273" t="s">
        <v>130</v>
      </c>
      <c r="D20" s="304" t="s">
        <v>131</v>
      </c>
      <c r="E20" s="305"/>
      <c r="F20" s="305"/>
      <c r="G20" s="306"/>
      <c r="H20" s="273" t="s">
        <v>132</v>
      </c>
      <c r="I20" s="273" t="s">
        <v>133</v>
      </c>
      <c r="J20" s="273" t="s">
        <v>134</v>
      </c>
    </row>
    <row r="21" spans="1:19" ht="19.5" hidden="1" thickBot="1" x14ac:dyDescent="0.3">
      <c r="A21" s="303"/>
      <c r="B21" s="303"/>
      <c r="C21" s="303"/>
      <c r="D21" s="273" t="s">
        <v>135</v>
      </c>
      <c r="E21" s="304" t="s">
        <v>22</v>
      </c>
      <c r="F21" s="305"/>
      <c r="G21" s="306"/>
      <c r="H21" s="303"/>
      <c r="I21" s="303"/>
      <c r="J21" s="303"/>
    </row>
    <row r="22" spans="1:19" ht="109.5" hidden="1" customHeight="1" thickBot="1" x14ac:dyDescent="0.3">
      <c r="A22" s="274"/>
      <c r="B22" s="274"/>
      <c r="C22" s="274"/>
      <c r="D22" s="274"/>
      <c r="E22" s="123" t="s">
        <v>136</v>
      </c>
      <c r="F22" s="123" t="s">
        <v>137</v>
      </c>
      <c r="G22" s="123" t="s">
        <v>138</v>
      </c>
      <c r="H22" s="274"/>
      <c r="I22" s="274"/>
      <c r="J22" s="274"/>
    </row>
    <row r="23" spans="1:19" ht="19.5" hidden="1" thickBot="1" x14ac:dyDescent="0.3">
      <c r="A23" s="170">
        <v>1</v>
      </c>
      <c r="B23" s="123">
        <v>2</v>
      </c>
      <c r="C23" s="123">
        <v>3</v>
      </c>
      <c r="D23" s="123">
        <v>4</v>
      </c>
      <c r="E23" s="123">
        <v>5</v>
      </c>
      <c r="F23" s="123">
        <v>6</v>
      </c>
      <c r="G23" s="123">
        <v>7</v>
      </c>
      <c r="H23" s="123">
        <v>8</v>
      </c>
      <c r="I23" s="123">
        <v>9</v>
      </c>
      <c r="J23" s="123">
        <v>10</v>
      </c>
    </row>
    <row r="24" spans="1:19" ht="38.25" hidden="1" thickBot="1" x14ac:dyDescent="0.3">
      <c r="A24" s="170"/>
      <c r="B24" s="170" t="s">
        <v>335</v>
      </c>
      <c r="C24" s="123"/>
      <c r="D24" s="20"/>
      <c r="E24" s="20"/>
      <c r="F24" s="20"/>
      <c r="G24" s="20"/>
      <c r="H24" s="20"/>
      <c r="I24" s="20"/>
      <c r="J24" s="20"/>
      <c r="L24" s="103"/>
      <c r="M24" s="103"/>
    </row>
    <row r="25" spans="1:19" ht="38.25" hidden="1" thickBot="1" x14ac:dyDescent="0.3">
      <c r="A25" s="170"/>
      <c r="B25" s="170" t="s">
        <v>336</v>
      </c>
      <c r="C25" s="123"/>
      <c r="D25" s="20"/>
      <c r="E25" s="20"/>
      <c r="F25" s="20"/>
      <c r="G25" s="20"/>
      <c r="H25" s="102"/>
      <c r="I25" s="20"/>
      <c r="J25" s="20"/>
      <c r="L25" s="103"/>
      <c r="M25" s="103"/>
    </row>
    <row r="26" spans="1:19" ht="57" hidden="1" thickBot="1" x14ac:dyDescent="0.3">
      <c r="A26" s="122"/>
      <c r="B26" s="170" t="s">
        <v>337</v>
      </c>
      <c r="C26" s="123"/>
      <c r="D26" s="20"/>
      <c r="E26" s="20"/>
      <c r="F26" s="20"/>
      <c r="G26" s="20"/>
      <c r="H26" s="20"/>
      <c r="I26" s="20"/>
      <c r="J26" s="20"/>
      <c r="L26" s="103"/>
    </row>
    <row r="27" spans="1:19" ht="38.25" hidden="1" thickBot="1" x14ac:dyDescent="0.3">
      <c r="A27" s="122"/>
      <c r="B27" s="170" t="s">
        <v>338</v>
      </c>
      <c r="C27" s="123"/>
      <c r="D27" s="20"/>
      <c r="E27" s="77"/>
      <c r="F27" s="77"/>
      <c r="G27" s="20"/>
      <c r="H27" s="123"/>
      <c r="I27" s="20"/>
      <c r="J27" s="20"/>
      <c r="L27" s="103"/>
      <c r="M27" s="103"/>
      <c r="R27" s="103">
        <f>L27-J28</f>
        <v>0</v>
      </c>
      <c r="S27" s="125">
        <f>R27-259000-100000</f>
        <v>-359000</v>
      </c>
    </row>
    <row r="28" spans="1:19" ht="39.75" hidden="1" customHeight="1" thickBot="1" x14ac:dyDescent="0.3">
      <c r="A28" s="336" t="s">
        <v>139</v>
      </c>
      <c r="B28" s="337"/>
      <c r="C28" s="136" t="s">
        <v>140</v>
      </c>
      <c r="D28" s="136"/>
      <c r="E28" s="136" t="s">
        <v>140</v>
      </c>
      <c r="F28" s="136" t="s">
        <v>140</v>
      </c>
      <c r="G28" s="136" t="s">
        <v>140</v>
      </c>
      <c r="H28" s="137" t="s">
        <v>140</v>
      </c>
      <c r="I28" s="136" t="s">
        <v>140</v>
      </c>
      <c r="J28" s="138">
        <f>SUM(J24:J27)</f>
        <v>0</v>
      </c>
      <c r="L28" s="103"/>
    </row>
    <row r="29" spans="1:19" hidden="1" x14ac:dyDescent="0.25">
      <c r="L29" s="105"/>
      <c r="M29" s="103"/>
    </row>
    <row r="30" spans="1:19" hidden="1" x14ac:dyDescent="0.25">
      <c r="L30" s="103"/>
      <c r="M30" s="103"/>
    </row>
    <row r="31" spans="1:19" s="106" customFormat="1" ht="38.25" hidden="1" customHeight="1" x14ac:dyDescent="0.25">
      <c r="A31" s="321" t="s">
        <v>188</v>
      </c>
      <c r="B31" s="321"/>
      <c r="C31" s="321"/>
      <c r="D31" s="321"/>
      <c r="E31" s="321"/>
      <c r="F31" s="321"/>
      <c r="L31" s="107"/>
    </row>
    <row r="32" spans="1:19" s="106" customFormat="1" hidden="1" x14ac:dyDescent="0.25">
      <c r="L32" s="107"/>
    </row>
    <row r="33" spans="1:12" s="106" customFormat="1" ht="123" hidden="1" customHeight="1" thickBot="1" x14ac:dyDescent="0.3">
      <c r="A33" s="108" t="s">
        <v>0</v>
      </c>
      <c r="B33" s="174" t="s">
        <v>141</v>
      </c>
      <c r="C33" s="174" t="s">
        <v>142</v>
      </c>
      <c r="D33" s="174" t="s">
        <v>143</v>
      </c>
      <c r="E33" s="174" t="s">
        <v>144</v>
      </c>
      <c r="F33" s="174" t="s">
        <v>145</v>
      </c>
      <c r="L33" s="107"/>
    </row>
    <row r="34" spans="1:12" s="106" customFormat="1" ht="19.5" hidden="1" thickBot="1" x14ac:dyDescent="0.3">
      <c r="A34" s="173">
        <v>1</v>
      </c>
      <c r="B34" s="175">
        <v>2</v>
      </c>
      <c r="C34" s="175">
        <v>3</v>
      </c>
      <c r="D34" s="175">
        <v>4</v>
      </c>
      <c r="E34" s="175">
        <v>5</v>
      </c>
      <c r="F34" s="175">
        <v>6</v>
      </c>
    </row>
    <row r="35" spans="1:12" s="106" customFormat="1" ht="19.5" hidden="1" thickBot="1" x14ac:dyDescent="0.3">
      <c r="A35" s="173">
        <v>1</v>
      </c>
      <c r="B35" s="175"/>
      <c r="C35" s="109">
        <v>0</v>
      </c>
      <c r="D35" s="109">
        <v>0</v>
      </c>
      <c r="E35" s="109">
        <v>0</v>
      </c>
      <c r="F35" s="109">
        <f>C35*D35*E35</f>
        <v>0</v>
      </c>
    </row>
    <row r="36" spans="1:12" s="106" customFormat="1" ht="19.5" hidden="1" thickBot="1" x14ac:dyDescent="0.3">
      <c r="A36" s="173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</row>
    <row r="37" spans="1:12" s="106" customFormat="1" hidden="1" x14ac:dyDescent="0.25"/>
    <row r="38" spans="1:12" s="106" customFormat="1" ht="18.75" hidden="1" x14ac:dyDescent="0.25">
      <c r="A38" s="321" t="s">
        <v>189</v>
      </c>
      <c r="B38" s="321"/>
      <c r="C38" s="321"/>
      <c r="D38" s="321"/>
      <c r="E38" s="321"/>
      <c r="F38" s="321"/>
    </row>
    <row r="39" spans="1:12" s="106" customFormat="1" hidden="1" x14ac:dyDescent="0.25"/>
    <row r="40" spans="1:12" s="106" customFormat="1" ht="124.5" hidden="1" customHeight="1" thickBot="1" x14ac:dyDescent="0.3">
      <c r="A40" s="108" t="s">
        <v>0</v>
      </c>
      <c r="B40" s="174" t="s">
        <v>141</v>
      </c>
      <c r="C40" s="174" t="s">
        <v>146</v>
      </c>
      <c r="D40" s="174" t="s">
        <v>147</v>
      </c>
      <c r="E40" s="174" t="s">
        <v>148</v>
      </c>
      <c r="F40" s="174" t="s">
        <v>145</v>
      </c>
    </row>
    <row r="41" spans="1:12" s="106" customFormat="1" ht="19.5" hidden="1" thickBot="1" x14ac:dyDescent="0.3">
      <c r="A41" s="173">
        <v>1</v>
      </c>
      <c r="B41" s="175">
        <v>2</v>
      </c>
      <c r="C41" s="175">
        <v>3</v>
      </c>
      <c r="D41" s="175">
        <v>4</v>
      </c>
      <c r="E41" s="175">
        <v>5</v>
      </c>
      <c r="F41" s="175">
        <v>6</v>
      </c>
    </row>
    <row r="42" spans="1:12" s="106" customFormat="1" ht="51.75" hidden="1" customHeight="1" thickBot="1" x14ac:dyDescent="0.3">
      <c r="A42" s="173">
        <v>1</v>
      </c>
      <c r="B42" s="175" t="s">
        <v>320</v>
      </c>
      <c r="C42" s="175"/>
      <c r="D42" s="175"/>
      <c r="E42" s="109"/>
      <c r="F42" s="109">
        <f>C42*D42*E42</f>
        <v>0</v>
      </c>
    </row>
    <row r="43" spans="1:12" s="106" customFormat="1" ht="19.5" hidden="1" thickBot="1" x14ac:dyDescent="0.3">
      <c r="A43" s="173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0</v>
      </c>
    </row>
    <row r="44" spans="1:12" s="106" customFormat="1" hidden="1" x14ac:dyDescent="0.25"/>
    <row r="45" spans="1:12" s="106" customFormat="1" ht="80.25" hidden="1" customHeight="1" x14ac:dyDescent="0.25">
      <c r="A45" s="321" t="s">
        <v>190</v>
      </c>
      <c r="B45" s="321"/>
      <c r="C45" s="321"/>
      <c r="D45" s="321"/>
      <c r="E45" s="321"/>
    </row>
    <row r="46" spans="1:12" s="106" customFormat="1" hidden="1" x14ac:dyDescent="0.25"/>
    <row r="47" spans="1:12" s="106" customFormat="1" ht="144.75" hidden="1" customHeight="1" thickBot="1" x14ac:dyDescent="0.3">
      <c r="A47" s="108" t="s">
        <v>0</v>
      </c>
      <c r="B47" s="174" t="s">
        <v>149</v>
      </c>
      <c r="C47" s="174" t="s">
        <v>150</v>
      </c>
      <c r="D47" s="174" t="s">
        <v>151</v>
      </c>
    </row>
    <row r="48" spans="1:12" s="106" customFormat="1" ht="19.5" hidden="1" thickBot="1" x14ac:dyDescent="0.3">
      <c r="A48" s="173">
        <v>1</v>
      </c>
      <c r="B48" s="175">
        <v>2</v>
      </c>
      <c r="C48" s="175">
        <v>3</v>
      </c>
      <c r="D48" s="175">
        <v>4</v>
      </c>
    </row>
    <row r="49" spans="1:6" s="106" customFormat="1" ht="113.25" hidden="1" customHeight="1" thickBot="1" x14ac:dyDescent="0.3">
      <c r="A49" s="173">
        <v>1</v>
      </c>
      <c r="B49" s="111" t="s">
        <v>152</v>
      </c>
      <c r="C49" s="175" t="s">
        <v>140</v>
      </c>
      <c r="D49" s="71"/>
    </row>
    <row r="50" spans="1:6" s="106" customFormat="1" ht="18.75" hidden="1" x14ac:dyDescent="0.25">
      <c r="A50" s="289" t="s">
        <v>153</v>
      </c>
      <c r="B50" s="112" t="s">
        <v>22</v>
      </c>
      <c r="C50" s="289"/>
      <c r="D50" s="276"/>
    </row>
    <row r="51" spans="1:6" s="106" customFormat="1" ht="19.5" hidden="1" thickBot="1" x14ac:dyDescent="0.3">
      <c r="A51" s="281"/>
      <c r="B51" s="113" t="s">
        <v>154</v>
      </c>
      <c r="C51" s="281"/>
      <c r="D51" s="277"/>
    </row>
    <row r="52" spans="1:6" s="106" customFormat="1" ht="19.5" hidden="1" thickBot="1" x14ac:dyDescent="0.3">
      <c r="A52" s="173" t="s">
        <v>155</v>
      </c>
      <c r="B52" s="114" t="s">
        <v>156</v>
      </c>
      <c r="C52" s="175"/>
      <c r="D52" s="71"/>
    </row>
    <row r="53" spans="1:6" s="106" customFormat="1" ht="120.75" hidden="1" customHeight="1" thickBot="1" x14ac:dyDescent="0.3">
      <c r="A53" s="173">
        <v>2</v>
      </c>
      <c r="B53" s="111" t="s">
        <v>157</v>
      </c>
      <c r="C53" s="175" t="s">
        <v>140</v>
      </c>
      <c r="D53" s="71"/>
    </row>
    <row r="54" spans="1:6" s="106" customFormat="1" ht="164.25" hidden="1" customHeight="1" thickBot="1" x14ac:dyDescent="0.3">
      <c r="A54" s="173">
        <v>3</v>
      </c>
      <c r="B54" s="111" t="s">
        <v>158</v>
      </c>
      <c r="C54" s="71">
        <f>J28</f>
        <v>0</v>
      </c>
      <c r="D54" s="71">
        <f>C54*5.1%</f>
        <v>0</v>
      </c>
    </row>
    <row r="55" spans="1:6" s="106" customFormat="1" ht="19.5" hidden="1" thickBot="1" x14ac:dyDescent="0.3">
      <c r="A55" s="173"/>
      <c r="B55" s="126" t="s">
        <v>139</v>
      </c>
      <c r="C55" s="85" t="s">
        <v>140</v>
      </c>
      <c r="D55" s="86">
        <f>D50+D53+D54</f>
        <v>0</v>
      </c>
    </row>
    <row r="56" spans="1:6" s="106" customFormat="1" hidden="1" x14ac:dyDescent="0.25"/>
    <row r="57" spans="1:6" s="106" customFormat="1" ht="36" hidden="1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hidden="1" x14ac:dyDescent="0.25"/>
    <row r="59" spans="1:6" s="106" customFormat="1" ht="18.75" hidden="1" x14ac:dyDescent="0.25">
      <c r="A59" s="332" t="s">
        <v>192</v>
      </c>
      <c r="B59" s="332"/>
      <c r="C59" s="332"/>
      <c r="D59" s="332"/>
      <c r="E59" s="332"/>
      <c r="F59" s="332"/>
    </row>
    <row r="60" spans="1:6" s="106" customFormat="1" ht="18.75" hidden="1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8.75" hidden="1" x14ac:dyDescent="0.25">
      <c r="A61" s="115"/>
    </row>
    <row r="62" spans="1:6" s="106" customFormat="1" ht="108" hidden="1" customHeight="1" thickBot="1" x14ac:dyDescent="0.3">
      <c r="A62" s="108" t="s">
        <v>0</v>
      </c>
      <c r="B62" s="174" t="s">
        <v>1</v>
      </c>
      <c r="C62" s="174" t="s">
        <v>159</v>
      </c>
      <c r="D62" s="174" t="s">
        <v>160</v>
      </c>
      <c r="E62" s="174" t="s">
        <v>161</v>
      </c>
    </row>
    <row r="63" spans="1:6" s="106" customFormat="1" ht="19.5" hidden="1" thickBot="1" x14ac:dyDescent="0.3">
      <c r="A63" s="173">
        <v>1</v>
      </c>
      <c r="B63" s="175">
        <v>2</v>
      </c>
      <c r="C63" s="175">
        <v>3</v>
      </c>
      <c r="D63" s="175">
        <v>4</v>
      </c>
      <c r="E63" s="175">
        <v>5</v>
      </c>
    </row>
    <row r="64" spans="1:6" s="106" customFormat="1" ht="19.5" hidden="1" thickBot="1" x14ac:dyDescent="0.3">
      <c r="A64" s="173"/>
      <c r="B64" s="175"/>
      <c r="C64" s="175"/>
      <c r="D64" s="175"/>
      <c r="E64" s="175"/>
    </row>
    <row r="65" spans="1:9" s="106" customFormat="1" ht="19.5" hidden="1" thickBot="1" x14ac:dyDescent="0.3">
      <c r="A65" s="173"/>
      <c r="B65" s="126" t="s">
        <v>139</v>
      </c>
      <c r="C65" s="85" t="s">
        <v>140</v>
      </c>
      <c r="D65" s="85" t="s">
        <v>140</v>
      </c>
      <c r="E65" s="85"/>
    </row>
    <row r="66" spans="1:9" s="106" customFormat="1" hidden="1" x14ac:dyDescent="0.25"/>
    <row r="67" spans="1:9" s="106" customFormat="1" hidden="1" x14ac:dyDescent="0.25"/>
    <row r="68" spans="1:9" s="106" customFormat="1" ht="18.75" hidden="1" x14ac:dyDescent="0.25">
      <c r="A68" s="326" t="s">
        <v>194</v>
      </c>
      <c r="B68" s="326"/>
      <c r="C68" s="326"/>
      <c r="D68" s="326"/>
      <c r="E68" s="326"/>
      <c r="F68" s="326"/>
      <c r="G68" s="326"/>
    </row>
    <row r="69" spans="1:9" s="106" customFormat="1" ht="18.75" hidden="1" x14ac:dyDescent="0.25">
      <c r="A69" s="116"/>
    </row>
    <row r="70" spans="1:9" s="106" customFormat="1" ht="18.75" hidden="1" x14ac:dyDescent="0.25">
      <c r="A70" s="115"/>
    </row>
    <row r="71" spans="1:9" s="106" customFormat="1" ht="18.75" hidden="1" x14ac:dyDescent="0.25">
      <c r="A71" s="332" t="s">
        <v>312</v>
      </c>
      <c r="B71" s="332"/>
      <c r="C71" s="332"/>
      <c r="D71" s="332"/>
      <c r="E71" s="332"/>
      <c r="F71" s="332"/>
      <c r="G71" s="332"/>
    </row>
    <row r="72" spans="1:9" s="106" customFormat="1" ht="18.75" hidden="1" x14ac:dyDescent="0.25">
      <c r="A72" s="332" t="s">
        <v>311</v>
      </c>
      <c r="B72" s="332"/>
      <c r="C72" s="332"/>
      <c r="D72" s="332"/>
      <c r="E72" s="332"/>
      <c r="F72" s="332"/>
      <c r="G72" s="332"/>
    </row>
    <row r="73" spans="1:9" s="106" customFormat="1" ht="18.75" hidden="1" x14ac:dyDescent="0.25">
      <c r="A73" s="115"/>
    </row>
    <row r="74" spans="1:9" s="106" customFormat="1" ht="141.75" hidden="1" customHeight="1" thickBot="1" x14ac:dyDescent="0.3">
      <c r="A74" s="108" t="s">
        <v>0</v>
      </c>
      <c r="B74" s="174" t="s">
        <v>141</v>
      </c>
      <c r="C74" s="174" t="s">
        <v>162</v>
      </c>
      <c r="D74" s="174" t="s">
        <v>163</v>
      </c>
      <c r="E74" s="174" t="s">
        <v>164</v>
      </c>
    </row>
    <row r="75" spans="1:9" s="106" customFormat="1" ht="19.5" hidden="1" thickBot="1" x14ac:dyDescent="0.3">
      <c r="A75" s="173">
        <v>1</v>
      </c>
      <c r="B75" s="175">
        <v>2</v>
      </c>
      <c r="C75" s="175">
        <v>3</v>
      </c>
      <c r="D75" s="175">
        <v>4</v>
      </c>
      <c r="E75" s="175">
        <v>5</v>
      </c>
    </row>
    <row r="76" spans="1:9" s="106" customFormat="1" ht="19.5" hidden="1" thickBot="1" x14ac:dyDescent="0.3">
      <c r="A76" s="173">
        <v>1</v>
      </c>
      <c r="B76" s="175" t="s">
        <v>309</v>
      </c>
      <c r="C76" s="129"/>
      <c r="D76" s="129"/>
      <c r="E76" s="129"/>
      <c r="H76" s="117"/>
    </row>
    <row r="77" spans="1:9" s="106" customFormat="1" ht="27" hidden="1" customHeight="1" thickBot="1" x14ac:dyDescent="0.3">
      <c r="A77" s="173">
        <v>2</v>
      </c>
      <c r="B77" s="175" t="s">
        <v>310</v>
      </c>
      <c r="C77" s="129"/>
      <c r="D77" s="129"/>
      <c r="E77" s="129"/>
    </row>
    <row r="78" spans="1:9" s="106" customFormat="1" ht="19.5" hidden="1" thickBot="1" x14ac:dyDescent="0.3">
      <c r="A78" s="173"/>
      <c r="B78" s="126" t="s">
        <v>139</v>
      </c>
      <c r="C78" s="130"/>
      <c r="D78" s="130" t="s">
        <v>140</v>
      </c>
      <c r="E78" s="130">
        <f>E77+E76</f>
        <v>0</v>
      </c>
    </row>
    <row r="79" spans="1:9" s="106" customFormat="1" x14ac:dyDescent="0.25"/>
    <row r="80" spans="1:9" s="106" customFormat="1" ht="18.75" x14ac:dyDescent="0.25">
      <c r="A80" s="326" t="s">
        <v>362</v>
      </c>
      <c r="B80" s="326"/>
      <c r="C80" s="326"/>
      <c r="D80" s="326"/>
      <c r="E80" s="326"/>
      <c r="F80" s="326"/>
      <c r="G80" s="326"/>
      <c r="H80" s="326"/>
      <c r="I80" s="326"/>
    </row>
    <row r="81" spans="1:7" s="106" customFormat="1" ht="18.75" x14ac:dyDescent="0.25">
      <c r="A81" s="116"/>
    </row>
    <row r="82" spans="1:7" s="106" customFormat="1" ht="18.75" x14ac:dyDescent="0.25">
      <c r="A82" s="118" t="s">
        <v>344</v>
      </c>
    </row>
    <row r="83" spans="1:7" s="106" customFormat="1" ht="18.75" x14ac:dyDescent="0.25">
      <c r="A83" s="176" t="s">
        <v>363</v>
      </c>
      <c r="B83" s="176"/>
      <c r="C83" s="176"/>
      <c r="D83" s="176"/>
      <c r="E83" s="176"/>
      <c r="F83" s="176"/>
      <c r="G83" s="176"/>
    </row>
    <row r="84" spans="1:7" s="106" customFormat="1" ht="18.75" x14ac:dyDescent="0.25">
      <c r="A84" s="118"/>
    </row>
    <row r="85" spans="1:7" s="106" customFormat="1" ht="18.75" hidden="1" x14ac:dyDescent="0.25">
      <c r="A85" s="326" t="s">
        <v>165</v>
      </c>
      <c r="B85" s="326"/>
      <c r="C85" s="326"/>
      <c r="D85" s="326"/>
      <c r="E85" s="326"/>
      <c r="F85" s="326"/>
    </row>
    <row r="86" spans="1:7" s="106" customFormat="1" hidden="1" x14ac:dyDescent="0.25"/>
    <row r="87" spans="1:7" s="106" customFormat="1" ht="57" hidden="1" thickBot="1" x14ac:dyDescent="0.3">
      <c r="A87" s="108" t="s">
        <v>0</v>
      </c>
      <c r="B87" s="174" t="s">
        <v>141</v>
      </c>
      <c r="C87" s="174" t="s">
        <v>166</v>
      </c>
      <c r="D87" s="174" t="s">
        <v>167</v>
      </c>
      <c r="E87" s="174" t="s">
        <v>168</v>
      </c>
      <c r="F87" s="174" t="s">
        <v>145</v>
      </c>
    </row>
    <row r="88" spans="1:7" s="106" customFormat="1" ht="19.5" hidden="1" thickBot="1" x14ac:dyDescent="0.3">
      <c r="A88" s="173">
        <v>1</v>
      </c>
      <c r="B88" s="175">
        <v>2</v>
      </c>
      <c r="C88" s="175">
        <v>3</v>
      </c>
      <c r="D88" s="175">
        <v>4</v>
      </c>
      <c r="E88" s="175">
        <v>5</v>
      </c>
      <c r="F88" s="175">
        <v>6</v>
      </c>
    </row>
    <row r="89" spans="1:7" s="106" customFormat="1" ht="38.25" hidden="1" thickBot="1" x14ac:dyDescent="0.3">
      <c r="A89" s="173">
        <v>1</v>
      </c>
      <c r="B89" s="175" t="s">
        <v>313</v>
      </c>
      <c r="C89" s="175"/>
      <c r="D89" s="175"/>
      <c r="E89" s="129"/>
      <c r="F89" s="129">
        <f>C89*D89*E89</f>
        <v>0</v>
      </c>
    </row>
    <row r="90" spans="1:7" s="106" customFormat="1" ht="19.5" hidden="1" thickBot="1" x14ac:dyDescent="0.3">
      <c r="A90" s="173"/>
      <c r="B90" s="126" t="s">
        <v>139</v>
      </c>
      <c r="C90" s="85" t="s">
        <v>140</v>
      </c>
      <c r="D90" s="85" t="s">
        <v>140</v>
      </c>
      <c r="E90" s="85" t="s">
        <v>140</v>
      </c>
      <c r="F90" s="130">
        <f>F89</f>
        <v>0</v>
      </c>
    </row>
    <row r="91" spans="1:7" s="106" customFormat="1" hidden="1" x14ac:dyDescent="0.25"/>
    <row r="92" spans="1:7" s="106" customFormat="1" ht="30" hidden="1" customHeight="1" x14ac:dyDescent="0.25">
      <c r="A92" s="326" t="s">
        <v>169</v>
      </c>
      <c r="B92" s="326"/>
      <c r="C92" s="326"/>
      <c r="D92" s="326"/>
      <c r="E92" s="326"/>
      <c r="F92" s="326"/>
    </row>
    <row r="93" spans="1:7" s="106" customFormat="1" hidden="1" x14ac:dyDescent="0.25"/>
    <row r="94" spans="1:7" s="106" customFormat="1" ht="57" hidden="1" thickBot="1" x14ac:dyDescent="0.3">
      <c r="A94" s="108" t="s">
        <v>0</v>
      </c>
      <c r="B94" s="174" t="s">
        <v>141</v>
      </c>
      <c r="C94" s="174" t="s">
        <v>170</v>
      </c>
      <c r="D94" s="174" t="s">
        <v>171</v>
      </c>
      <c r="E94" s="174" t="s">
        <v>172</v>
      </c>
    </row>
    <row r="95" spans="1:7" s="106" customFormat="1" ht="19.5" hidden="1" thickBot="1" x14ac:dyDescent="0.3">
      <c r="A95" s="173">
        <v>1</v>
      </c>
      <c r="B95" s="175">
        <v>2</v>
      </c>
      <c r="C95" s="175">
        <v>3</v>
      </c>
      <c r="D95" s="175">
        <v>4</v>
      </c>
      <c r="E95" s="175">
        <v>5</v>
      </c>
    </row>
    <row r="96" spans="1:7" s="106" customFormat="1" ht="19.5" hidden="1" thickBot="1" x14ac:dyDescent="0.3">
      <c r="A96" s="173"/>
      <c r="B96" s="175"/>
      <c r="C96" s="109">
        <v>0</v>
      </c>
      <c r="D96" s="109">
        <v>0</v>
      </c>
      <c r="E96" s="109">
        <f>C96*D96</f>
        <v>0</v>
      </c>
    </row>
    <row r="97" spans="1:7" s="106" customFormat="1" ht="19.5" hidden="1" thickBot="1" x14ac:dyDescent="0.3">
      <c r="A97" s="173"/>
      <c r="B97" s="134" t="s">
        <v>139</v>
      </c>
      <c r="C97" s="135">
        <f>C96</f>
        <v>0</v>
      </c>
      <c r="D97" s="135">
        <f>D96</f>
        <v>0</v>
      </c>
      <c r="E97" s="135">
        <f>E96</f>
        <v>0</v>
      </c>
    </row>
    <row r="98" spans="1:7" s="106" customFormat="1" hidden="1" x14ac:dyDescent="0.25"/>
    <row r="99" spans="1:7" s="106" customFormat="1" ht="18.75" hidden="1" x14ac:dyDescent="0.25">
      <c r="A99" s="326" t="s">
        <v>173</v>
      </c>
      <c r="B99" s="326"/>
      <c r="C99" s="326"/>
      <c r="D99" s="326"/>
      <c r="E99" s="326"/>
      <c r="F99" s="326"/>
    </row>
    <row r="100" spans="1:7" s="106" customFormat="1" hidden="1" x14ac:dyDescent="0.25"/>
    <row r="101" spans="1:7" s="106" customFormat="1" ht="57" hidden="1" thickBot="1" x14ac:dyDescent="0.3">
      <c r="A101" s="108" t="s">
        <v>0</v>
      </c>
      <c r="B101" s="174" t="s">
        <v>1</v>
      </c>
      <c r="C101" s="174" t="s">
        <v>349</v>
      </c>
      <c r="D101" s="174" t="s">
        <v>345</v>
      </c>
      <c r="E101" s="174" t="s">
        <v>174</v>
      </c>
      <c r="F101" s="174" t="s">
        <v>175</v>
      </c>
      <c r="G101" s="174" t="s">
        <v>351</v>
      </c>
    </row>
    <row r="102" spans="1:7" s="106" customFormat="1" ht="19.5" hidden="1" thickBot="1" x14ac:dyDescent="0.3">
      <c r="A102" s="173">
        <v>1</v>
      </c>
      <c r="B102" s="175">
        <v>2</v>
      </c>
      <c r="C102" s="175">
        <v>3</v>
      </c>
      <c r="D102" s="175">
        <v>4</v>
      </c>
      <c r="E102" s="175">
        <v>5</v>
      </c>
      <c r="F102" s="175">
        <v>6</v>
      </c>
      <c r="G102" s="175">
        <v>7</v>
      </c>
    </row>
    <row r="103" spans="1:7" s="106" customFormat="1" ht="47.25" hidden="1" customHeight="1" thickBot="1" x14ac:dyDescent="0.3">
      <c r="A103" s="173">
        <v>1</v>
      </c>
      <c r="B103" s="173" t="s">
        <v>314</v>
      </c>
      <c r="C103" s="109" t="s">
        <v>350</v>
      </c>
      <c r="D103" s="109"/>
      <c r="E103" s="109"/>
      <c r="F103" s="175"/>
      <c r="G103" s="119"/>
    </row>
    <row r="104" spans="1:7" s="106" customFormat="1" ht="47.25" hidden="1" customHeight="1" thickBot="1" x14ac:dyDescent="0.3">
      <c r="A104" s="173">
        <v>2</v>
      </c>
      <c r="B104" s="173" t="s">
        <v>315</v>
      </c>
      <c r="C104" s="109" t="s">
        <v>350</v>
      </c>
      <c r="D104" s="109"/>
      <c r="E104" s="109"/>
      <c r="F104" s="175"/>
      <c r="G104" s="119"/>
    </row>
    <row r="105" spans="1:7" s="106" customFormat="1" ht="47.25" hidden="1" customHeight="1" thickBot="1" x14ac:dyDescent="0.3">
      <c r="A105" s="173">
        <v>3</v>
      </c>
      <c r="B105" s="173" t="s">
        <v>316</v>
      </c>
      <c r="C105" s="109" t="s">
        <v>352</v>
      </c>
      <c r="D105" s="109"/>
      <c r="E105" s="109"/>
      <c r="F105" s="175"/>
      <c r="G105" s="119"/>
    </row>
    <row r="106" spans="1:7" s="106" customFormat="1" ht="47.25" hidden="1" customHeight="1" thickBot="1" x14ac:dyDescent="0.3">
      <c r="A106" s="173">
        <v>4</v>
      </c>
      <c r="B106" s="173" t="s">
        <v>317</v>
      </c>
      <c r="C106" s="109" t="s">
        <v>353</v>
      </c>
      <c r="D106" s="109"/>
      <c r="E106" s="109"/>
      <c r="F106" s="175"/>
      <c r="G106" s="119"/>
    </row>
    <row r="107" spans="1:7" s="106" customFormat="1" ht="47.25" hidden="1" customHeight="1" thickBot="1" x14ac:dyDescent="0.3">
      <c r="A107" s="173">
        <v>5</v>
      </c>
      <c r="B107" s="173" t="s">
        <v>318</v>
      </c>
      <c r="C107" s="109" t="s">
        <v>353</v>
      </c>
      <c r="D107" s="109"/>
      <c r="E107" s="109"/>
      <c r="F107" s="175"/>
      <c r="G107" s="119"/>
    </row>
    <row r="108" spans="1:7" s="106" customFormat="1" ht="47.25" hidden="1" customHeight="1" thickBot="1" x14ac:dyDescent="0.3">
      <c r="A108" s="173">
        <v>6</v>
      </c>
      <c r="B108" s="173" t="s">
        <v>319</v>
      </c>
      <c r="C108" s="109" t="s">
        <v>353</v>
      </c>
      <c r="D108" s="109"/>
      <c r="E108" s="109"/>
      <c r="F108" s="175"/>
      <c r="G108" s="119"/>
    </row>
    <row r="109" spans="1:7" s="106" customFormat="1" ht="19.5" hidden="1" thickBot="1" x14ac:dyDescent="0.3">
      <c r="A109" s="173"/>
      <c r="B109" s="126" t="s">
        <v>139</v>
      </c>
      <c r="C109" s="85" t="s">
        <v>140</v>
      </c>
      <c r="D109" s="85" t="s">
        <v>140</v>
      </c>
      <c r="E109" s="85" t="s">
        <v>140</v>
      </c>
      <c r="F109" s="85" t="s">
        <v>140</v>
      </c>
      <c r="G109" s="133">
        <f>G108+G107+G106+G105+G104+G103</f>
        <v>0</v>
      </c>
    </row>
    <row r="110" spans="1:7" s="106" customFormat="1" hidden="1" x14ac:dyDescent="0.25"/>
    <row r="111" spans="1:7" s="106" customFormat="1" ht="18.75" hidden="1" x14ac:dyDescent="0.25">
      <c r="A111" s="326" t="s">
        <v>176</v>
      </c>
      <c r="B111" s="326"/>
      <c r="C111" s="326"/>
      <c r="D111" s="326"/>
      <c r="E111" s="326"/>
      <c r="F111" s="118"/>
    </row>
    <row r="112" spans="1:7" s="106" customFormat="1" hidden="1" x14ac:dyDescent="0.25"/>
    <row r="113" spans="1:5" s="106" customFormat="1" ht="57" hidden="1" thickBot="1" x14ac:dyDescent="0.3">
      <c r="A113" s="108" t="s">
        <v>0</v>
      </c>
      <c r="B113" s="174" t="s">
        <v>1</v>
      </c>
      <c r="C113" s="174" t="s">
        <v>177</v>
      </c>
      <c r="D113" s="174" t="s">
        <v>178</v>
      </c>
      <c r="E113" s="174" t="s">
        <v>179</v>
      </c>
    </row>
    <row r="114" spans="1:5" s="106" customFormat="1" ht="19.5" hidden="1" thickBot="1" x14ac:dyDescent="0.3">
      <c r="A114" s="173">
        <v>1</v>
      </c>
      <c r="B114" s="175">
        <v>2</v>
      </c>
      <c r="C114" s="175">
        <v>3</v>
      </c>
      <c r="D114" s="175">
        <v>4</v>
      </c>
      <c r="E114" s="175">
        <v>5</v>
      </c>
    </row>
    <row r="115" spans="1:5" s="106" customFormat="1" ht="19.5" hidden="1" thickBot="1" x14ac:dyDescent="0.3">
      <c r="A115" s="173"/>
      <c r="B115" s="175"/>
      <c r="C115" s="175"/>
      <c r="D115" s="175"/>
      <c r="E115" s="175"/>
    </row>
    <row r="116" spans="1:5" s="106" customFormat="1" ht="19.5" hidden="1" thickBot="1" x14ac:dyDescent="0.3">
      <c r="A116" s="173"/>
      <c r="B116" s="110" t="s">
        <v>139</v>
      </c>
      <c r="C116" s="175" t="s">
        <v>140</v>
      </c>
      <c r="D116" s="175" t="s">
        <v>140</v>
      </c>
      <c r="E116" s="175" t="s">
        <v>140</v>
      </c>
    </row>
    <row r="117" spans="1:5" s="106" customFormat="1" hidden="1" x14ac:dyDescent="0.25"/>
    <row r="118" spans="1:5" s="106" customFormat="1" ht="39.75" hidden="1" customHeight="1" x14ac:dyDescent="0.25">
      <c r="A118" s="321" t="s">
        <v>195</v>
      </c>
      <c r="B118" s="321"/>
      <c r="C118" s="321"/>
      <c r="D118" s="321"/>
      <c r="E118" s="321"/>
    </row>
    <row r="119" spans="1:5" s="106" customFormat="1" ht="18.75" hidden="1" x14ac:dyDescent="0.25">
      <c r="A119" s="115"/>
    </row>
    <row r="120" spans="1:5" s="106" customFormat="1" ht="57" hidden="1" thickBot="1" x14ac:dyDescent="0.3">
      <c r="A120" s="108" t="s">
        <v>0</v>
      </c>
      <c r="B120" s="174" t="s">
        <v>141</v>
      </c>
      <c r="C120" s="174" t="s">
        <v>180</v>
      </c>
      <c r="D120" s="174" t="s">
        <v>181</v>
      </c>
      <c r="E120" s="174" t="s">
        <v>182</v>
      </c>
    </row>
    <row r="121" spans="1:5" s="106" customFormat="1" ht="19.5" hidden="1" thickBot="1" x14ac:dyDescent="0.3">
      <c r="A121" s="173">
        <v>1</v>
      </c>
      <c r="B121" s="175">
        <v>2</v>
      </c>
      <c r="C121" s="175">
        <v>3</v>
      </c>
      <c r="D121" s="175">
        <v>4</v>
      </c>
      <c r="E121" s="175">
        <v>5</v>
      </c>
    </row>
    <row r="122" spans="1:5" s="106" customFormat="1" ht="19.5" hidden="1" thickBot="1" x14ac:dyDescent="0.3">
      <c r="A122" s="173">
        <v>1</v>
      </c>
      <c r="B122" s="120" t="s">
        <v>321</v>
      </c>
      <c r="C122" s="175"/>
      <c r="D122" s="175"/>
      <c r="E122" s="129"/>
    </row>
    <row r="123" spans="1:5" s="106" customFormat="1" ht="19.5" hidden="1" thickBot="1" x14ac:dyDescent="0.3">
      <c r="A123" s="173">
        <v>2</v>
      </c>
      <c r="B123" s="120" t="s">
        <v>322</v>
      </c>
      <c r="C123" s="175"/>
      <c r="D123" s="175"/>
      <c r="E123" s="129"/>
    </row>
    <row r="124" spans="1:5" s="106" customFormat="1" ht="19.5" hidden="1" thickBot="1" x14ac:dyDescent="0.3">
      <c r="A124" s="173">
        <v>3</v>
      </c>
      <c r="B124" s="120" t="s">
        <v>323</v>
      </c>
      <c r="C124" s="175"/>
      <c r="D124" s="175"/>
      <c r="E124" s="129"/>
    </row>
    <row r="125" spans="1:5" s="106" customFormat="1" ht="38.25" hidden="1" thickBot="1" x14ac:dyDescent="0.3">
      <c r="A125" s="173">
        <v>4</v>
      </c>
      <c r="B125" s="120" t="s">
        <v>324</v>
      </c>
      <c r="C125" s="175"/>
      <c r="D125" s="175"/>
      <c r="E125" s="129"/>
    </row>
    <row r="126" spans="1:5" s="106" customFormat="1" ht="24.75" hidden="1" customHeight="1" thickBot="1" x14ac:dyDescent="0.3">
      <c r="A126" s="173">
        <v>5</v>
      </c>
      <c r="B126" s="120" t="s">
        <v>325</v>
      </c>
      <c r="C126" s="175"/>
      <c r="D126" s="175"/>
      <c r="E126" s="129"/>
    </row>
    <row r="127" spans="1:5" s="106" customFormat="1" ht="57" hidden="1" thickBot="1" x14ac:dyDescent="0.3">
      <c r="A127" s="173">
        <v>6</v>
      </c>
      <c r="B127" s="120" t="s">
        <v>326</v>
      </c>
      <c r="C127" s="175"/>
      <c r="D127" s="175"/>
      <c r="E127" s="129"/>
    </row>
    <row r="128" spans="1:5" s="106" customFormat="1" ht="19.5" hidden="1" thickBot="1" x14ac:dyDescent="0.3">
      <c r="A128" s="173">
        <v>7</v>
      </c>
      <c r="B128" s="120" t="s">
        <v>327</v>
      </c>
      <c r="C128" s="175"/>
      <c r="D128" s="175"/>
      <c r="E128" s="129"/>
    </row>
    <row r="129" spans="1:5" s="106" customFormat="1" ht="38.25" hidden="1" thickBot="1" x14ac:dyDescent="0.3">
      <c r="A129" s="173">
        <v>8</v>
      </c>
      <c r="B129" s="120" t="s">
        <v>328</v>
      </c>
      <c r="C129" s="175"/>
      <c r="D129" s="175"/>
      <c r="E129" s="129"/>
    </row>
    <row r="130" spans="1:5" s="106" customFormat="1" ht="38.25" hidden="1" thickBot="1" x14ac:dyDescent="0.3">
      <c r="A130" s="173">
        <v>9</v>
      </c>
      <c r="B130" s="120" t="s">
        <v>346</v>
      </c>
      <c r="C130" s="175"/>
      <c r="D130" s="175"/>
      <c r="E130" s="129"/>
    </row>
    <row r="131" spans="1:5" s="106" customFormat="1" ht="38.25" hidden="1" thickBot="1" x14ac:dyDescent="0.3">
      <c r="A131" s="173">
        <v>10</v>
      </c>
      <c r="B131" s="120" t="s">
        <v>329</v>
      </c>
      <c r="C131" s="175"/>
      <c r="D131" s="175"/>
      <c r="E131" s="129"/>
    </row>
    <row r="132" spans="1:5" s="106" customFormat="1" ht="57" hidden="1" thickBot="1" x14ac:dyDescent="0.3">
      <c r="A132" s="173">
        <v>11</v>
      </c>
      <c r="B132" s="120" t="s">
        <v>330</v>
      </c>
      <c r="C132" s="175"/>
      <c r="D132" s="175"/>
      <c r="E132" s="129"/>
    </row>
    <row r="133" spans="1:5" s="106" customFormat="1" ht="27" hidden="1" customHeight="1" thickBot="1" x14ac:dyDescent="0.3">
      <c r="A133" s="173"/>
      <c r="B133" s="175"/>
      <c r="C133" s="175"/>
      <c r="D133" s="175"/>
      <c r="E133" s="129"/>
    </row>
    <row r="134" spans="1:5" s="106" customFormat="1" ht="19.5" hidden="1" thickBot="1" x14ac:dyDescent="0.3">
      <c r="A134" s="173"/>
      <c r="B134" s="175"/>
      <c r="C134" s="175"/>
      <c r="D134" s="175"/>
      <c r="E134" s="129"/>
    </row>
    <row r="135" spans="1:5" s="106" customFormat="1" ht="19.5" hidden="1" thickBot="1" x14ac:dyDescent="0.3">
      <c r="A135" s="173"/>
      <c r="B135" s="126" t="s">
        <v>139</v>
      </c>
      <c r="C135" s="85" t="s">
        <v>140</v>
      </c>
      <c r="D135" s="85" t="s">
        <v>140</v>
      </c>
      <c r="E135" s="130">
        <f>SUM(E122:E134)</f>
        <v>0</v>
      </c>
    </row>
    <row r="136" spans="1:5" s="106" customFormat="1" hidden="1" x14ac:dyDescent="0.25"/>
    <row r="137" spans="1:5" s="106" customFormat="1" ht="37.5" hidden="1" customHeight="1" x14ac:dyDescent="0.25">
      <c r="A137" s="321" t="s">
        <v>183</v>
      </c>
      <c r="B137" s="321"/>
      <c r="C137" s="321"/>
      <c r="D137" s="321"/>
      <c r="E137" s="321"/>
    </row>
    <row r="138" spans="1:5" s="106" customFormat="1" ht="18.75" hidden="1" x14ac:dyDescent="0.25">
      <c r="A138" s="115"/>
    </row>
    <row r="139" spans="1:5" s="106" customFormat="1" ht="38.25" hidden="1" thickBot="1" x14ac:dyDescent="0.3">
      <c r="A139" s="108" t="s">
        <v>0</v>
      </c>
      <c r="B139" s="174" t="s">
        <v>141</v>
      </c>
      <c r="C139" s="174" t="s">
        <v>184</v>
      </c>
      <c r="D139" s="174" t="s">
        <v>185</v>
      </c>
    </row>
    <row r="140" spans="1:5" s="106" customFormat="1" ht="19.5" hidden="1" thickBot="1" x14ac:dyDescent="0.3">
      <c r="A140" s="173">
        <v>1</v>
      </c>
      <c r="B140" s="175">
        <v>2</v>
      </c>
      <c r="C140" s="175">
        <v>3</v>
      </c>
      <c r="D140" s="175">
        <v>4</v>
      </c>
    </row>
    <row r="141" spans="1:5" s="106" customFormat="1" ht="24.75" hidden="1" customHeight="1" thickBot="1" x14ac:dyDescent="0.3">
      <c r="A141" s="173">
        <v>1</v>
      </c>
      <c r="B141" s="120" t="s">
        <v>331</v>
      </c>
      <c r="C141" s="175"/>
      <c r="D141" s="129"/>
    </row>
    <row r="142" spans="1:5" s="106" customFormat="1" ht="24.75" hidden="1" customHeight="1" thickBot="1" x14ac:dyDescent="0.3">
      <c r="A142" s="173">
        <v>2</v>
      </c>
      <c r="B142" s="120" t="s">
        <v>332</v>
      </c>
      <c r="C142" s="175"/>
      <c r="D142" s="129"/>
    </row>
    <row r="143" spans="1:5" s="106" customFormat="1" ht="62.25" hidden="1" customHeight="1" thickBot="1" x14ac:dyDescent="0.3">
      <c r="A143" s="173">
        <v>3</v>
      </c>
      <c r="B143" s="120" t="s">
        <v>333</v>
      </c>
      <c r="C143" s="175"/>
      <c r="D143" s="129"/>
    </row>
    <row r="144" spans="1:5" s="106" customFormat="1" ht="24.75" hidden="1" customHeight="1" thickBot="1" x14ac:dyDescent="0.3">
      <c r="A144" s="173">
        <v>4</v>
      </c>
      <c r="B144" s="120" t="s">
        <v>334</v>
      </c>
      <c r="C144" s="175"/>
      <c r="D144" s="129"/>
    </row>
    <row r="145" spans="1:6" s="106" customFormat="1" ht="24.75" hidden="1" customHeight="1" thickBot="1" x14ac:dyDescent="0.3">
      <c r="A145" s="173"/>
      <c r="B145" s="175"/>
      <c r="C145" s="175"/>
      <c r="D145" s="129"/>
    </row>
    <row r="146" spans="1:6" s="106" customFormat="1" ht="19.5" hidden="1" thickBot="1" x14ac:dyDescent="0.3">
      <c r="A146" s="173"/>
      <c r="B146" s="175"/>
      <c r="C146" s="175"/>
      <c r="D146" s="129"/>
    </row>
    <row r="147" spans="1:6" s="106" customFormat="1" ht="19.5" hidden="1" thickBot="1" x14ac:dyDescent="0.3">
      <c r="A147" s="173"/>
      <c r="B147" s="175"/>
      <c r="C147" s="175"/>
      <c r="D147" s="129"/>
    </row>
    <row r="148" spans="1:6" s="106" customFormat="1" ht="19.5" hidden="1" thickBot="1" x14ac:dyDescent="0.3">
      <c r="A148" s="173"/>
      <c r="B148" s="126" t="s">
        <v>139</v>
      </c>
      <c r="C148" s="85" t="s">
        <v>140</v>
      </c>
      <c r="D148" s="130">
        <f>D147+D146+D145+D144+D143+D142+D141</f>
        <v>0</v>
      </c>
    </row>
    <row r="149" spans="1:6" s="106" customFormat="1" hidden="1" x14ac:dyDescent="0.25"/>
    <row r="150" spans="1:6" s="106" customFormat="1" ht="51" customHeight="1" x14ac:dyDescent="0.25">
      <c r="A150" s="321" t="s">
        <v>364</v>
      </c>
      <c r="B150" s="321"/>
      <c r="C150" s="321"/>
      <c r="D150" s="321"/>
      <c r="E150" s="321"/>
      <c r="F150" s="321"/>
    </row>
    <row r="151" spans="1:6" s="106" customFormat="1" ht="15.75" thickBot="1" x14ac:dyDescent="0.3"/>
    <row r="152" spans="1:6" s="106" customFormat="1" ht="57" thickBot="1" x14ac:dyDescent="0.3">
      <c r="A152" s="108" t="s">
        <v>0</v>
      </c>
      <c r="B152" s="174" t="s">
        <v>141</v>
      </c>
      <c r="C152" s="174" t="s">
        <v>365</v>
      </c>
      <c r="D152" s="174" t="s">
        <v>186</v>
      </c>
      <c r="E152" s="174" t="s">
        <v>187</v>
      </c>
    </row>
    <row r="153" spans="1:6" s="106" customFormat="1" ht="19.5" thickBot="1" x14ac:dyDescent="0.3">
      <c r="A153" s="173"/>
      <c r="B153" s="175">
        <v>1</v>
      </c>
      <c r="C153" s="175">
        <v>2</v>
      </c>
      <c r="D153" s="175">
        <v>3</v>
      </c>
      <c r="E153" s="175">
        <v>4</v>
      </c>
    </row>
    <row r="154" spans="1:6" s="106" customFormat="1" ht="49.5" customHeight="1" thickBot="1" x14ac:dyDescent="0.3">
      <c r="A154" s="173"/>
      <c r="B154" s="120" t="s">
        <v>340</v>
      </c>
      <c r="C154" s="175"/>
      <c r="D154" s="129"/>
      <c r="E154" s="129">
        <f>SUM(E155:E156)</f>
        <v>6248092.5</v>
      </c>
    </row>
    <row r="155" spans="1:6" s="106" customFormat="1" ht="85.5" customHeight="1" thickBot="1" x14ac:dyDescent="0.3">
      <c r="A155" s="173"/>
      <c r="B155" s="120" t="s">
        <v>367</v>
      </c>
      <c r="C155" s="175">
        <v>28950</v>
      </c>
      <c r="D155" s="129">
        <v>203.19</v>
      </c>
      <c r="E155" s="129">
        <f>C155*D155</f>
        <v>5882350.5</v>
      </c>
    </row>
    <row r="156" spans="1:6" s="106" customFormat="1" ht="85.5" customHeight="1" thickBot="1" x14ac:dyDescent="0.3">
      <c r="A156" s="173"/>
      <c r="B156" s="120" t="s">
        <v>368</v>
      </c>
      <c r="C156" s="175">
        <v>3600</v>
      </c>
      <c r="D156" s="129">
        <f>D155/2</f>
        <v>101.595</v>
      </c>
      <c r="E156" s="129">
        <f>C156*D156</f>
        <v>365742</v>
      </c>
    </row>
    <row r="157" spans="1:6" s="106" customFormat="1" ht="50.25" customHeight="1" thickBot="1" x14ac:dyDescent="0.3">
      <c r="A157" s="172"/>
      <c r="B157" s="128" t="s">
        <v>348</v>
      </c>
      <c r="C157" s="85"/>
      <c r="D157" s="130"/>
      <c r="E157" s="130">
        <f>E154</f>
        <v>6248092.5</v>
      </c>
    </row>
    <row r="159" spans="1:6" x14ac:dyDescent="0.25">
      <c r="A159" t="s">
        <v>420</v>
      </c>
    </row>
    <row r="160" spans="1:6" x14ac:dyDescent="0.25">
      <c r="A160" t="s">
        <v>428</v>
      </c>
    </row>
  </sheetData>
  <mergeCells count="35">
    <mergeCell ref="A72:G72"/>
    <mergeCell ref="A80:I80"/>
    <mergeCell ref="A150:F150"/>
    <mergeCell ref="A85:F85"/>
    <mergeCell ref="A92:F92"/>
    <mergeCell ref="A99:F99"/>
    <mergeCell ref="A111:E111"/>
    <mergeCell ref="A118:E118"/>
    <mergeCell ref="A137:E137"/>
    <mergeCell ref="A57:F57"/>
    <mergeCell ref="A59:F59"/>
    <mergeCell ref="A60:F60"/>
    <mergeCell ref="A68:G68"/>
    <mergeCell ref="A71:G71"/>
    <mergeCell ref="A31:F31"/>
    <mergeCell ref="A38:F38"/>
    <mergeCell ref="A45:E45"/>
    <mergeCell ref="A50:A51"/>
    <mergeCell ref="C50:C51"/>
    <mergeCell ref="D50:D51"/>
    <mergeCell ref="I20:I22"/>
    <mergeCell ref="J20:J22"/>
    <mergeCell ref="D21:D22"/>
    <mergeCell ref="E21:G21"/>
    <mergeCell ref="A28:B28"/>
    <mergeCell ref="A20:A22"/>
    <mergeCell ref="B20:B22"/>
    <mergeCell ref="C20:C22"/>
    <mergeCell ref="D20:G20"/>
    <mergeCell ref="H20:H22"/>
    <mergeCell ref="A11:J11"/>
    <mergeCell ref="A13:J13"/>
    <mergeCell ref="A15:J15"/>
    <mergeCell ref="A16:J16"/>
    <mergeCell ref="A18:J18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0"/>
  <sheetViews>
    <sheetView tabSelected="1" view="pageBreakPreview" zoomScale="60" zoomScaleNormal="72" workbookViewId="0">
      <selection activeCell="D170" sqref="D170"/>
    </sheetView>
  </sheetViews>
  <sheetFormatPr defaultRowHeight="15" x14ac:dyDescent="0.25"/>
  <cols>
    <col min="1" max="1" width="8.5703125" customWidth="1"/>
    <col min="2" max="2" width="30.140625" customWidth="1"/>
    <col min="3" max="3" width="16.42578125" customWidth="1"/>
    <col min="4" max="4" width="17.140625" customWidth="1"/>
    <col min="5" max="5" width="19.85546875" customWidth="1"/>
    <col min="6" max="6" width="21.42578125" customWidth="1"/>
    <col min="7" max="7" width="19.85546875" customWidth="1"/>
    <col min="8" max="8" width="15.42578125" customWidth="1"/>
    <col min="9" max="9" width="15" customWidth="1"/>
    <col min="10" max="10" width="21.140625" customWidth="1"/>
    <col min="12" max="12" width="25.85546875" customWidth="1"/>
    <col min="13" max="13" width="18.7109375" customWidth="1"/>
    <col min="14" max="14" width="9.42578125" bestFit="1" customWidth="1"/>
    <col min="18" max="19" width="13.42578125" bestFit="1" customWidth="1"/>
  </cols>
  <sheetData>
    <row r="1" spans="1:10" ht="18.75" x14ac:dyDescent="0.25">
      <c r="J1" s="11" t="s">
        <v>119</v>
      </c>
    </row>
    <row r="2" spans="1:10" ht="18.75" x14ac:dyDescent="0.25">
      <c r="J2" s="11" t="s">
        <v>120</v>
      </c>
    </row>
    <row r="3" spans="1:10" ht="16.5" x14ac:dyDescent="0.25">
      <c r="J3" s="21" t="s">
        <v>121</v>
      </c>
    </row>
    <row r="4" spans="1:10" ht="16.5" x14ac:dyDescent="0.25">
      <c r="J4" s="21" t="s">
        <v>122</v>
      </c>
    </row>
    <row r="5" spans="1:10" ht="16.5" x14ac:dyDescent="0.25">
      <c r="J5" s="21" t="s">
        <v>123</v>
      </c>
    </row>
    <row r="6" spans="1:10" ht="16.5" x14ac:dyDescent="0.25">
      <c r="J6" s="21" t="s">
        <v>124</v>
      </c>
    </row>
    <row r="7" spans="1:10" ht="16.5" x14ac:dyDescent="0.25">
      <c r="J7" s="21" t="s">
        <v>125</v>
      </c>
    </row>
    <row r="8" spans="1:10" ht="16.5" x14ac:dyDescent="0.25">
      <c r="J8" s="21" t="s">
        <v>126</v>
      </c>
    </row>
    <row r="11" spans="1:10" ht="15" customHeight="1" x14ac:dyDescent="0.25">
      <c r="A11" s="263" t="s">
        <v>429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ht="18.75" x14ac:dyDescent="0.25">
      <c r="A12" s="104"/>
      <c r="B12" s="104"/>
      <c r="C12" s="171"/>
      <c r="D12" s="104"/>
      <c r="E12" s="104"/>
      <c r="F12" s="104"/>
      <c r="G12" s="104"/>
      <c r="H12" s="104"/>
      <c r="I12" s="104"/>
      <c r="J12" s="104"/>
    </row>
    <row r="13" spans="1:10" ht="18.75" hidden="1" x14ac:dyDescent="0.25">
      <c r="A13" s="263" t="s">
        <v>127</v>
      </c>
      <c r="B13" s="263"/>
      <c r="C13" s="263"/>
      <c r="D13" s="263"/>
      <c r="E13" s="263"/>
      <c r="F13" s="263"/>
      <c r="G13" s="263"/>
      <c r="H13" s="263"/>
      <c r="I13" s="263"/>
      <c r="J13" s="263"/>
    </row>
    <row r="14" spans="1:10" hidden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8.75" hidden="1" x14ac:dyDescent="0.25">
      <c r="A15" s="335" t="s">
        <v>342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21" hidden="1" customHeight="1" x14ac:dyDescent="0.25">
      <c r="A16" s="335" t="s">
        <v>343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9" ht="18.75" hidden="1" x14ac:dyDescent="0.25">
      <c r="A17" s="22"/>
    </row>
    <row r="18" spans="1:19" ht="18.75" hidden="1" x14ac:dyDescent="0.25">
      <c r="A18" s="263" t="s">
        <v>128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9" hidden="1" x14ac:dyDescent="0.25">
      <c r="I19">
        <v>1.6</v>
      </c>
    </row>
    <row r="20" spans="1:19" ht="36" hidden="1" customHeight="1" thickBot="1" x14ac:dyDescent="0.3">
      <c r="A20" s="273" t="s">
        <v>0</v>
      </c>
      <c r="B20" s="273" t="s">
        <v>129</v>
      </c>
      <c r="C20" s="273" t="s">
        <v>130</v>
      </c>
      <c r="D20" s="304" t="s">
        <v>131</v>
      </c>
      <c r="E20" s="305"/>
      <c r="F20" s="305"/>
      <c r="G20" s="306"/>
      <c r="H20" s="273" t="s">
        <v>132</v>
      </c>
      <c r="I20" s="273" t="s">
        <v>133</v>
      </c>
      <c r="J20" s="273" t="s">
        <v>134</v>
      </c>
    </row>
    <row r="21" spans="1:19" ht="19.5" hidden="1" thickBot="1" x14ac:dyDescent="0.3">
      <c r="A21" s="303"/>
      <c r="B21" s="303"/>
      <c r="C21" s="303"/>
      <c r="D21" s="273" t="s">
        <v>135</v>
      </c>
      <c r="E21" s="304" t="s">
        <v>22</v>
      </c>
      <c r="F21" s="305"/>
      <c r="G21" s="306"/>
      <c r="H21" s="303"/>
      <c r="I21" s="303"/>
      <c r="J21" s="303"/>
    </row>
    <row r="22" spans="1:19" ht="109.5" hidden="1" customHeight="1" thickBot="1" x14ac:dyDescent="0.3">
      <c r="A22" s="274"/>
      <c r="B22" s="274"/>
      <c r="C22" s="274"/>
      <c r="D22" s="274"/>
      <c r="E22" s="123" t="s">
        <v>136</v>
      </c>
      <c r="F22" s="123" t="s">
        <v>137</v>
      </c>
      <c r="G22" s="123" t="s">
        <v>138</v>
      </c>
      <c r="H22" s="274"/>
      <c r="I22" s="274"/>
      <c r="J22" s="274"/>
    </row>
    <row r="23" spans="1:19" ht="19.5" hidden="1" thickBot="1" x14ac:dyDescent="0.3">
      <c r="A23" s="170">
        <v>1</v>
      </c>
      <c r="B23" s="123">
        <v>2</v>
      </c>
      <c r="C23" s="123">
        <v>3</v>
      </c>
      <c r="D23" s="123">
        <v>4</v>
      </c>
      <c r="E23" s="123">
        <v>5</v>
      </c>
      <c r="F23" s="123">
        <v>6</v>
      </c>
      <c r="G23" s="123">
        <v>7</v>
      </c>
      <c r="H23" s="123">
        <v>8</v>
      </c>
      <c r="I23" s="123">
        <v>9</v>
      </c>
      <c r="J23" s="123">
        <v>10</v>
      </c>
    </row>
    <row r="24" spans="1:19" ht="38.25" hidden="1" thickBot="1" x14ac:dyDescent="0.3">
      <c r="A24" s="170"/>
      <c r="B24" s="170" t="s">
        <v>335</v>
      </c>
      <c r="C24" s="123"/>
      <c r="D24" s="20"/>
      <c r="E24" s="20"/>
      <c r="F24" s="20"/>
      <c r="G24" s="20"/>
      <c r="H24" s="20"/>
      <c r="I24" s="20"/>
      <c r="J24" s="20"/>
      <c r="L24" s="103"/>
      <c r="M24" s="103"/>
    </row>
    <row r="25" spans="1:19" ht="38.25" hidden="1" thickBot="1" x14ac:dyDescent="0.3">
      <c r="A25" s="170"/>
      <c r="B25" s="170" t="s">
        <v>336</v>
      </c>
      <c r="C25" s="123"/>
      <c r="D25" s="20"/>
      <c r="E25" s="20"/>
      <c r="F25" s="20"/>
      <c r="G25" s="20"/>
      <c r="H25" s="102"/>
      <c r="I25" s="20"/>
      <c r="J25" s="20"/>
      <c r="L25" s="103"/>
      <c r="M25" s="103"/>
    </row>
    <row r="26" spans="1:19" ht="57" hidden="1" thickBot="1" x14ac:dyDescent="0.3">
      <c r="A26" s="122"/>
      <c r="B26" s="170" t="s">
        <v>337</v>
      </c>
      <c r="C26" s="123"/>
      <c r="D26" s="20"/>
      <c r="E26" s="20"/>
      <c r="F26" s="20"/>
      <c r="G26" s="20"/>
      <c r="H26" s="20"/>
      <c r="I26" s="20"/>
      <c r="J26" s="20"/>
      <c r="L26" s="103"/>
    </row>
    <row r="27" spans="1:19" ht="38.25" hidden="1" thickBot="1" x14ac:dyDescent="0.3">
      <c r="A27" s="122"/>
      <c r="B27" s="170" t="s">
        <v>338</v>
      </c>
      <c r="C27" s="123"/>
      <c r="D27" s="20"/>
      <c r="E27" s="77"/>
      <c r="F27" s="77"/>
      <c r="G27" s="20"/>
      <c r="H27" s="123"/>
      <c r="I27" s="20"/>
      <c r="J27" s="20"/>
      <c r="L27" s="103"/>
      <c r="M27" s="103"/>
      <c r="R27" s="103">
        <f>L27-J28</f>
        <v>0</v>
      </c>
      <c r="S27" s="125">
        <f>R27-259000-100000</f>
        <v>-359000</v>
      </c>
    </row>
    <row r="28" spans="1:19" ht="39.75" hidden="1" customHeight="1" thickBot="1" x14ac:dyDescent="0.3">
      <c r="A28" s="336" t="s">
        <v>139</v>
      </c>
      <c r="B28" s="337"/>
      <c r="C28" s="136" t="s">
        <v>140</v>
      </c>
      <c r="D28" s="136"/>
      <c r="E28" s="136" t="s">
        <v>140</v>
      </c>
      <c r="F28" s="136" t="s">
        <v>140</v>
      </c>
      <c r="G28" s="136" t="s">
        <v>140</v>
      </c>
      <c r="H28" s="137" t="s">
        <v>140</v>
      </c>
      <c r="I28" s="136" t="s">
        <v>140</v>
      </c>
      <c r="J28" s="138">
        <f>SUM(J24:J27)</f>
        <v>0</v>
      </c>
      <c r="L28" s="103"/>
    </row>
    <row r="29" spans="1:19" hidden="1" x14ac:dyDescent="0.25">
      <c r="L29" s="105"/>
      <c r="M29" s="103"/>
    </row>
    <row r="30" spans="1:19" hidden="1" x14ac:dyDescent="0.25">
      <c r="L30" s="103"/>
      <c r="M30" s="103"/>
    </row>
    <row r="31" spans="1:19" s="106" customFormat="1" ht="38.25" hidden="1" customHeight="1" x14ac:dyDescent="0.25">
      <c r="A31" s="321" t="s">
        <v>188</v>
      </c>
      <c r="B31" s="321"/>
      <c r="C31" s="321"/>
      <c r="D31" s="321"/>
      <c r="E31" s="321"/>
      <c r="F31" s="321"/>
      <c r="L31" s="107"/>
    </row>
    <row r="32" spans="1:19" s="106" customFormat="1" hidden="1" x14ac:dyDescent="0.25">
      <c r="L32" s="107"/>
    </row>
    <row r="33" spans="1:12" s="106" customFormat="1" ht="123" hidden="1" customHeight="1" thickBot="1" x14ac:dyDescent="0.3">
      <c r="A33" s="108" t="s">
        <v>0</v>
      </c>
      <c r="B33" s="174" t="s">
        <v>141</v>
      </c>
      <c r="C33" s="174" t="s">
        <v>142</v>
      </c>
      <c r="D33" s="174" t="s">
        <v>143</v>
      </c>
      <c r="E33" s="174" t="s">
        <v>144</v>
      </c>
      <c r="F33" s="174" t="s">
        <v>145</v>
      </c>
      <c r="L33" s="107"/>
    </row>
    <row r="34" spans="1:12" s="106" customFormat="1" ht="19.5" hidden="1" thickBot="1" x14ac:dyDescent="0.3">
      <c r="A34" s="173">
        <v>1</v>
      </c>
      <c r="B34" s="175">
        <v>2</v>
      </c>
      <c r="C34" s="175">
        <v>3</v>
      </c>
      <c r="D34" s="175">
        <v>4</v>
      </c>
      <c r="E34" s="175">
        <v>5</v>
      </c>
      <c r="F34" s="175">
        <v>6</v>
      </c>
    </row>
    <row r="35" spans="1:12" s="106" customFormat="1" ht="19.5" hidden="1" thickBot="1" x14ac:dyDescent="0.3">
      <c r="A35" s="173">
        <v>1</v>
      </c>
      <c r="B35" s="175"/>
      <c r="C35" s="109">
        <v>0</v>
      </c>
      <c r="D35" s="109">
        <v>0</v>
      </c>
      <c r="E35" s="109">
        <v>0</v>
      </c>
      <c r="F35" s="109">
        <f>C35*D35*E35</f>
        <v>0</v>
      </c>
    </row>
    <row r="36" spans="1:12" s="106" customFormat="1" ht="19.5" hidden="1" thickBot="1" x14ac:dyDescent="0.3">
      <c r="A36" s="173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</row>
    <row r="37" spans="1:12" s="106" customFormat="1" hidden="1" x14ac:dyDescent="0.25"/>
    <row r="38" spans="1:12" s="106" customFormat="1" ht="18.75" hidden="1" x14ac:dyDescent="0.25">
      <c r="A38" s="321" t="s">
        <v>189</v>
      </c>
      <c r="B38" s="321"/>
      <c r="C38" s="321"/>
      <c r="D38" s="321"/>
      <c r="E38" s="321"/>
      <c r="F38" s="321"/>
    </row>
    <row r="39" spans="1:12" s="106" customFormat="1" hidden="1" x14ac:dyDescent="0.25"/>
    <row r="40" spans="1:12" s="106" customFormat="1" ht="124.5" hidden="1" customHeight="1" thickBot="1" x14ac:dyDescent="0.3">
      <c r="A40" s="108" t="s">
        <v>0</v>
      </c>
      <c r="B40" s="174" t="s">
        <v>141</v>
      </c>
      <c r="C40" s="174" t="s">
        <v>146</v>
      </c>
      <c r="D40" s="174" t="s">
        <v>147</v>
      </c>
      <c r="E40" s="174" t="s">
        <v>148</v>
      </c>
      <c r="F40" s="174" t="s">
        <v>145</v>
      </c>
    </row>
    <row r="41" spans="1:12" s="106" customFormat="1" ht="19.5" hidden="1" thickBot="1" x14ac:dyDescent="0.3">
      <c r="A41" s="173">
        <v>1</v>
      </c>
      <c r="B41" s="175">
        <v>2</v>
      </c>
      <c r="C41" s="175">
        <v>3</v>
      </c>
      <c r="D41" s="175">
        <v>4</v>
      </c>
      <c r="E41" s="175">
        <v>5</v>
      </c>
      <c r="F41" s="175">
        <v>6</v>
      </c>
    </row>
    <row r="42" spans="1:12" s="106" customFormat="1" ht="51.75" hidden="1" customHeight="1" thickBot="1" x14ac:dyDescent="0.3">
      <c r="A42" s="173">
        <v>1</v>
      </c>
      <c r="B42" s="175" t="s">
        <v>320</v>
      </c>
      <c r="C42" s="175"/>
      <c r="D42" s="175"/>
      <c r="E42" s="109"/>
      <c r="F42" s="109">
        <f>C42*D42*E42</f>
        <v>0</v>
      </c>
    </row>
    <row r="43" spans="1:12" s="106" customFormat="1" ht="19.5" hidden="1" thickBot="1" x14ac:dyDescent="0.3">
      <c r="A43" s="173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0</v>
      </c>
    </row>
    <row r="44" spans="1:12" s="106" customFormat="1" hidden="1" x14ac:dyDescent="0.25"/>
    <row r="45" spans="1:12" s="106" customFormat="1" ht="80.25" hidden="1" customHeight="1" x14ac:dyDescent="0.25">
      <c r="A45" s="321" t="s">
        <v>190</v>
      </c>
      <c r="B45" s="321"/>
      <c r="C45" s="321"/>
      <c r="D45" s="321"/>
      <c r="E45" s="321"/>
    </row>
    <row r="46" spans="1:12" s="106" customFormat="1" hidden="1" x14ac:dyDescent="0.25"/>
    <row r="47" spans="1:12" s="106" customFormat="1" ht="144.75" hidden="1" customHeight="1" thickBot="1" x14ac:dyDescent="0.3">
      <c r="A47" s="108" t="s">
        <v>0</v>
      </c>
      <c r="B47" s="174" t="s">
        <v>149</v>
      </c>
      <c r="C47" s="174" t="s">
        <v>150</v>
      </c>
      <c r="D47" s="174" t="s">
        <v>151</v>
      </c>
    </row>
    <row r="48" spans="1:12" s="106" customFormat="1" ht="19.5" hidden="1" thickBot="1" x14ac:dyDescent="0.3">
      <c r="A48" s="173">
        <v>1</v>
      </c>
      <c r="B48" s="175">
        <v>2</v>
      </c>
      <c r="C48" s="175">
        <v>3</v>
      </c>
      <c r="D48" s="175">
        <v>4</v>
      </c>
    </row>
    <row r="49" spans="1:6" s="106" customFormat="1" ht="113.25" hidden="1" customHeight="1" thickBot="1" x14ac:dyDescent="0.3">
      <c r="A49" s="173">
        <v>1</v>
      </c>
      <c r="B49" s="111" t="s">
        <v>152</v>
      </c>
      <c r="C49" s="175" t="s">
        <v>140</v>
      </c>
      <c r="D49" s="71"/>
    </row>
    <row r="50" spans="1:6" s="106" customFormat="1" ht="18.75" hidden="1" x14ac:dyDescent="0.25">
      <c r="A50" s="289" t="s">
        <v>153</v>
      </c>
      <c r="B50" s="112" t="s">
        <v>22</v>
      </c>
      <c r="C50" s="289"/>
      <c r="D50" s="276"/>
    </row>
    <row r="51" spans="1:6" s="106" customFormat="1" ht="19.5" hidden="1" thickBot="1" x14ac:dyDescent="0.3">
      <c r="A51" s="281"/>
      <c r="B51" s="113" t="s">
        <v>154</v>
      </c>
      <c r="C51" s="281"/>
      <c r="D51" s="277"/>
    </row>
    <row r="52" spans="1:6" s="106" customFormat="1" ht="19.5" hidden="1" thickBot="1" x14ac:dyDescent="0.3">
      <c r="A52" s="173" t="s">
        <v>155</v>
      </c>
      <c r="B52" s="114" t="s">
        <v>156</v>
      </c>
      <c r="C52" s="175"/>
      <c r="D52" s="71"/>
    </row>
    <row r="53" spans="1:6" s="106" customFormat="1" ht="120.75" hidden="1" customHeight="1" thickBot="1" x14ac:dyDescent="0.3">
      <c r="A53" s="173">
        <v>2</v>
      </c>
      <c r="B53" s="111" t="s">
        <v>157</v>
      </c>
      <c r="C53" s="175" t="s">
        <v>140</v>
      </c>
      <c r="D53" s="71"/>
    </row>
    <row r="54" spans="1:6" s="106" customFormat="1" ht="164.25" hidden="1" customHeight="1" thickBot="1" x14ac:dyDescent="0.3">
      <c r="A54" s="173">
        <v>3</v>
      </c>
      <c r="B54" s="111" t="s">
        <v>158</v>
      </c>
      <c r="C54" s="71">
        <f>J28</f>
        <v>0</v>
      </c>
      <c r="D54" s="71">
        <f>C54*5.1%</f>
        <v>0</v>
      </c>
    </row>
    <row r="55" spans="1:6" s="106" customFormat="1" ht="19.5" hidden="1" thickBot="1" x14ac:dyDescent="0.3">
      <c r="A55" s="173"/>
      <c r="B55" s="126" t="s">
        <v>139</v>
      </c>
      <c r="C55" s="85" t="s">
        <v>140</v>
      </c>
      <c r="D55" s="86">
        <f>D50+D53+D54</f>
        <v>0</v>
      </c>
    </row>
    <row r="56" spans="1:6" s="106" customFormat="1" hidden="1" x14ac:dyDescent="0.25"/>
    <row r="57" spans="1:6" s="106" customFormat="1" ht="36" hidden="1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hidden="1" x14ac:dyDescent="0.25"/>
    <row r="59" spans="1:6" s="106" customFormat="1" ht="18.75" hidden="1" x14ac:dyDescent="0.25">
      <c r="A59" s="332" t="s">
        <v>192</v>
      </c>
      <c r="B59" s="332"/>
      <c r="C59" s="332"/>
      <c r="D59" s="332"/>
      <c r="E59" s="332"/>
      <c r="F59" s="332"/>
    </row>
    <row r="60" spans="1:6" s="106" customFormat="1" ht="18.75" hidden="1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8.75" hidden="1" x14ac:dyDescent="0.25">
      <c r="A61" s="115"/>
    </row>
    <row r="62" spans="1:6" s="106" customFormat="1" ht="108" hidden="1" customHeight="1" thickBot="1" x14ac:dyDescent="0.3">
      <c r="A62" s="108" t="s">
        <v>0</v>
      </c>
      <c r="B62" s="174" t="s">
        <v>1</v>
      </c>
      <c r="C62" s="174" t="s">
        <v>159</v>
      </c>
      <c r="D62" s="174" t="s">
        <v>160</v>
      </c>
      <c r="E62" s="174" t="s">
        <v>161</v>
      </c>
    </row>
    <row r="63" spans="1:6" s="106" customFormat="1" ht="19.5" hidden="1" thickBot="1" x14ac:dyDescent="0.3">
      <c r="A63" s="173">
        <v>1</v>
      </c>
      <c r="B63" s="175">
        <v>2</v>
      </c>
      <c r="C63" s="175">
        <v>3</v>
      </c>
      <c r="D63" s="175">
        <v>4</v>
      </c>
      <c r="E63" s="175">
        <v>5</v>
      </c>
    </row>
    <row r="64" spans="1:6" s="106" customFormat="1" ht="19.5" hidden="1" thickBot="1" x14ac:dyDescent="0.3">
      <c r="A64" s="173"/>
      <c r="B64" s="175"/>
      <c r="C64" s="175"/>
      <c r="D64" s="175"/>
      <c r="E64" s="175"/>
    </row>
    <row r="65" spans="1:9" s="106" customFormat="1" ht="19.5" hidden="1" thickBot="1" x14ac:dyDescent="0.3">
      <c r="A65" s="173"/>
      <c r="B65" s="126" t="s">
        <v>139</v>
      </c>
      <c r="C65" s="85" t="s">
        <v>140</v>
      </c>
      <c r="D65" s="85" t="s">
        <v>140</v>
      </c>
      <c r="E65" s="85"/>
    </row>
    <row r="66" spans="1:9" s="106" customFormat="1" hidden="1" x14ac:dyDescent="0.25"/>
    <row r="67" spans="1:9" s="106" customFormat="1" hidden="1" x14ac:dyDescent="0.25"/>
    <row r="68" spans="1:9" s="106" customFormat="1" ht="18.75" hidden="1" x14ac:dyDescent="0.25">
      <c r="A68" s="326" t="s">
        <v>194</v>
      </c>
      <c r="B68" s="326"/>
      <c r="C68" s="326"/>
      <c r="D68" s="326"/>
      <c r="E68" s="326"/>
      <c r="F68" s="326"/>
      <c r="G68" s="326"/>
    </row>
    <row r="69" spans="1:9" s="106" customFormat="1" ht="18.75" hidden="1" x14ac:dyDescent="0.25">
      <c r="A69" s="116"/>
    </row>
    <row r="70" spans="1:9" s="106" customFormat="1" ht="18.75" hidden="1" x14ac:dyDescent="0.25">
      <c r="A70" s="115"/>
    </row>
    <row r="71" spans="1:9" s="106" customFormat="1" ht="18.75" hidden="1" x14ac:dyDescent="0.25">
      <c r="A71" s="332" t="s">
        <v>312</v>
      </c>
      <c r="B71" s="332"/>
      <c r="C71" s="332"/>
      <c r="D71" s="332"/>
      <c r="E71" s="332"/>
      <c r="F71" s="332"/>
      <c r="G71" s="332"/>
    </row>
    <row r="72" spans="1:9" s="106" customFormat="1" ht="18.75" hidden="1" x14ac:dyDescent="0.25">
      <c r="A72" s="332" t="s">
        <v>311</v>
      </c>
      <c r="B72" s="332"/>
      <c r="C72" s="332"/>
      <c r="D72" s="332"/>
      <c r="E72" s="332"/>
      <c r="F72" s="332"/>
      <c r="G72" s="332"/>
    </row>
    <row r="73" spans="1:9" s="106" customFormat="1" ht="18.75" hidden="1" x14ac:dyDescent="0.25">
      <c r="A73" s="115"/>
    </row>
    <row r="74" spans="1:9" s="106" customFormat="1" ht="141.75" hidden="1" customHeight="1" thickBot="1" x14ac:dyDescent="0.3">
      <c r="A74" s="108" t="s">
        <v>0</v>
      </c>
      <c r="B74" s="174" t="s">
        <v>141</v>
      </c>
      <c r="C74" s="174" t="s">
        <v>162</v>
      </c>
      <c r="D74" s="174" t="s">
        <v>163</v>
      </c>
      <c r="E74" s="174" t="s">
        <v>164</v>
      </c>
    </row>
    <row r="75" spans="1:9" s="106" customFormat="1" ht="19.5" hidden="1" thickBot="1" x14ac:dyDescent="0.3">
      <c r="A75" s="173">
        <v>1</v>
      </c>
      <c r="B75" s="175">
        <v>2</v>
      </c>
      <c r="C75" s="175">
        <v>3</v>
      </c>
      <c r="D75" s="175">
        <v>4</v>
      </c>
      <c r="E75" s="175">
        <v>5</v>
      </c>
    </row>
    <row r="76" spans="1:9" s="106" customFormat="1" ht="19.5" hidden="1" thickBot="1" x14ac:dyDescent="0.3">
      <c r="A76" s="173">
        <v>1</v>
      </c>
      <c r="B76" s="175" t="s">
        <v>309</v>
      </c>
      <c r="C76" s="129"/>
      <c r="D76" s="129"/>
      <c r="E76" s="129"/>
      <c r="H76" s="117"/>
    </row>
    <row r="77" spans="1:9" s="106" customFormat="1" ht="27" hidden="1" customHeight="1" thickBot="1" x14ac:dyDescent="0.3">
      <c r="A77" s="173">
        <v>2</v>
      </c>
      <c r="B77" s="175" t="s">
        <v>310</v>
      </c>
      <c r="C77" s="129"/>
      <c r="D77" s="129"/>
      <c r="E77" s="129"/>
    </row>
    <row r="78" spans="1:9" s="106" customFormat="1" ht="19.5" hidden="1" thickBot="1" x14ac:dyDescent="0.3">
      <c r="A78" s="173"/>
      <c r="B78" s="126" t="s">
        <v>139</v>
      </c>
      <c r="C78" s="130"/>
      <c r="D78" s="130" t="s">
        <v>140</v>
      </c>
      <c r="E78" s="130">
        <f>E77+E76</f>
        <v>0</v>
      </c>
    </row>
    <row r="79" spans="1:9" s="106" customFormat="1" x14ac:dyDescent="0.25"/>
    <row r="80" spans="1:9" s="106" customFormat="1" ht="18.75" x14ac:dyDescent="0.25">
      <c r="A80" s="326" t="s">
        <v>362</v>
      </c>
      <c r="B80" s="326"/>
      <c r="C80" s="326"/>
      <c r="D80" s="326"/>
      <c r="E80" s="326"/>
      <c r="F80" s="326"/>
      <c r="G80" s="326"/>
      <c r="H80" s="326"/>
      <c r="I80" s="326"/>
    </row>
    <row r="81" spans="1:7" s="106" customFormat="1" ht="18.75" x14ac:dyDescent="0.25">
      <c r="A81" s="116"/>
    </row>
    <row r="82" spans="1:7" s="106" customFormat="1" ht="18.75" x14ac:dyDescent="0.25">
      <c r="A82" s="118" t="s">
        <v>344</v>
      </c>
    </row>
    <row r="83" spans="1:7" s="106" customFormat="1" ht="18.75" x14ac:dyDescent="0.25">
      <c r="A83" s="176" t="s">
        <v>363</v>
      </c>
      <c r="B83" s="176"/>
      <c r="C83" s="176"/>
      <c r="D83" s="176"/>
      <c r="E83" s="176"/>
      <c r="F83" s="176"/>
      <c r="G83" s="176"/>
    </row>
    <row r="84" spans="1:7" s="106" customFormat="1" ht="18.75" x14ac:dyDescent="0.25">
      <c r="A84" s="118"/>
    </row>
    <row r="85" spans="1:7" s="106" customFormat="1" ht="18.75" hidden="1" x14ac:dyDescent="0.25">
      <c r="A85" s="326" t="s">
        <v>165</v>
      </c>
      <c r="B85" s="326"/>
      <c r="C85" s="326"/>
      <c r="D85" s="326"/>
      <c r="E85" s="326"/>
      <c r="F85" s="326"/>
    </row>
    <row r="86" spans="1:7" s="106" customFormat="1" hidden="1" x14ac:dyDescent="0.25"/>
    <row r="87" spans="1:7" s="106" customFormat="1" ht="57" hidden="1" thickBot="1" x14ac:dyDescent="0.3">
      <c r="A87" s="108" t="s">
        <v>0</v>
      </c>
      <c r="B87" s="174" t="s">
        <v>141</v>
      </c>
      <c r="C87" s="174" t="s">
        <v>166</v>
      </c>
      <c r="D87" s="174" t="s">
        <v>167</v>
      </c>
      <c r="E87" s="174" t="s">
        <v>168</v>
      </c>
      <c r="F87" s="174" t="s">
        <v>145</v>
      </c>
    </row>
    <row r="88" spans="1:7" s="106" customFormat="1" ht="19.5" hidden="1" thickBot="1" x14ac:dyDescent="0.3">
      <c r="A88" s="173">
        <v>1</v>
      </c>
      <c r="B88" s="175">
        <v>2</v>
      </c>
      <c r="C88" s="175">
        <v>3</v>
      </c>
      <c r="D88" s="175">
        <v>4</v>
      </c>
      <c r="E88" s="175">
        <v>5</v>
      </c>
      <c r="F88" s="175">
        <v>6</v>
      </c>
    </row>
    <row r="89" spans="1:7" s="106" customFormat="1" ht="38.25" hidden="1" thickBot="1" x14ac:dyDescent="0.3">
      <c r="A89" s="173">
        <v>1</v>
      </c>
      <c r="B89" s="175" t="s">
        <v>313</v>
      </c>
      <c r="C89" s="175"/>
      <c r="D89" s="175"/>
      <c r="E89" s="129"/>
      <c r="F89" s="129">
        <f>C89*D89*E89</f>
        <v>0</v>
      </c>
    </row>
    <row r="90" spans="1:7" s="106" customFormat="1" ht="19.5" hidden="1" thickBot="1" x14ac:dyDescent="0.3">
      <c r="A90" s="173"/>
      <c r="B90" s="126" t="s">
        <v>139</v>
      </c>
      <c r="C90" s="85" t="s">
        <v>140</v>
      </c>
      <c r="D90" s="85" t="s">
        <v>140</v>
      </c>
      <c r="E90" s="85" t="s">
        <v>140</v>
      </c>
      <c r="F90" s="130">
        <f>F89</f>
        <v>0</v>
      </c>
    </row>
    <row r="91" spans="1:7" s="106" customFormat="1" hidden="1" x14ac:dyDescent="0.25"/>
    <row r="92" spans="1:7" s="106" customFormat="1" ht="30" hidden="1" customHeight="1" x14ac:dyDescent="0.25">
      <c r="A92" s="326" t="s">
        <v>169</v>
      </c>
      <c r="B92" s="326"/>
      <c r="C92" s="326"/>
      <c r="D92" s="326"/>
      <c r="E92" s="326"/>
      <c r="F92" s="326"/>
    </row>
    <row r="93" spans="1:7" s="106" customFormat="1" hidden="1" x14ac:dyDescent="0.25"/>
    <row r="94" spans="1:7" s="106" customFormat="1" ht="57" hidden="1" thickBot="1" x14ac:dyDescent="0.3">
      <c r="A94" s="108" t="s">
        <v>0</v>
      </c>
      <c r="B94" s="174" t="s">
        <v>141</v>
      </c>
      <c r="C94" s="174" t="s">
        <v>170</v>
      </c>
      <c r="D94" s="174" t="s">
        <v>171</v>
      </c>
      <c r="E94" s="174" t="s">
        <v>172</v>
      </c>
    </row>
    <row r="95" spans="1:7" s="106" customFormat="1" ht="19.5" hidden="1" thickBot="1" x14ac:dyDescent="0.3">
      <c r="A95" s="173">
        <v>1</v>
      </c>
      <c r="B95" s="175">
        <v>2</v>
      </c>
      <c r="C95" s="175">
        <v>3</v>
      </c>
      <c r="D95" s="175">
        <v>4</v>
      </c>
      <c r="E95" s="175">
        <v>5</v>
      </c>
    </row>
    <row r="96" spans="1:7" s="106" customFormat="1" ht="19.5" hidden="1" thickBot="1" x14ac:dyDescent="0.3">
      <c r="A96" s="173"/>
      <c r="B96" s="175"/>
      <c r="C96" s="109">
        <v>0</v>
      </c>
      <c r="D96" s="109">
        <v>0</v>
      </c>
      <c r="E96" s="109">
        <f>C96*D96</f>
        <v>0</v>
      </c>
    </row>
    <row r="97" spans="1:7" s="106" customFormat="1" ht="19.5" hidden="1" thickBot="1" x14ac:dyDescent="0.3">
      <c r="A97" s="173"/>
      <c r="B97" s="134" t="s">
        <v>139</v>
      </c>
      <c r="C97" s="135">
        <f>C96</f>
        <v>0</v>
      </c>
      <c r="D97" s="135">
        <f>D96</f>
        <v>0</v>
      </c>
      <c r="E97" s="135">
        <f>E96</f>
        <v>0</v>
      </c>
    </row>
    <row r="98" spans="1:7" s="106" customFormat="1" hidden="1" x14ac:dyDescent="0.25"/>
    <row r="99" spans="1:7" s="106" customFormat="1" ht="18.75" hidden="1" x14ac:dyDescent="0.25">
      <c r="A99" s="326" t="s">
        <v>173</v>
      </c>
      <c r="B99" s="326"/>
      <c r="C99" s="326"/>
      <c r="D99" s="326"/>
      <c r="E99" s="326"/>
      <c r="F99" s="326"/>
    </row>
    <row r="100" spans="1:7" s="106" customFormat="1" hidden="1" x14ac:dyDescent="0.25"/>
    <row r="101" spans="1:7" s="106" customFormat="1" ht="57" hidden="1" thickBot="1" x14ac:dyDescent="0.3">
      <c r="A101" s="108" t="s">
        <v>0</v>
      </c>
      <c r="B101" s="174" t="s">
        <v>1</v>
      </c>
      <c r="C101" s="174" t="s">
        <v>349</v>
      </c>
      <c r="D101" s="174" t="s">
        <v>345</v>
      </c>
      <c r="E101" s="174" t="s">
        <v>174</v>
      </c>
      <c r="F101" s="174" t="s">
        <v>175</v>
      </c>
      <c r="G101" s="174" t="s">
        <v>351</v>
      </c>
    </row>
    <row r="102" spans="1:7" s="106" customFormat="1" ht="19.5" hidden="1" thickBot="1" x14ac:dyDescent="0.3">
      <c r="A102" s="173">
        <v>1</v>
      </c>
      <c r="B102" s="175">
        <v>2</v>
      </c>
      <c r="C102" s="175">
        <v>3</v>
      </c>
      <c r="D102" s="175">
        <v>4</v>
      </c>
      <c r="E102" s="175">
        <v>5</v>
      </c>
      <c r="F102" s="175">
        <v>6</v>
      </c>
      <c r="G102" s="175">
        <v>7</v>
      </c>
    </row>
    <row r="103" spans="1:7" s="106" customFormat="1" ht="47.25" hidden="1" customHeight="1" thickBot="1" x14ac:dyDescent="0.3">
      <c r="A103" s="173">
        <v>1</v>
      </c>
      <c r="B103" s="173" t="s">
        <v>314</v>
      </c>
      <c r="C103" s="109" t="s">
        <v>350</v>
      </c>
      <c r="D103" s="109"/>
      <c r="E103" s="109"/>
      <c r="F103" s="175"/>
      <c r="G103" s="119"/>
    </row>
    <row r="104" spans="1:7" s="106" customFormat="1" ht="47.25" hidden="1" customHeight="1" thickBot="1" x14ac:dyDescent="0.3">
      <c r="A104" s="173">
        <v>2</v>
      </c>
      <c r="B104" s="173" t="s">
        <v>315</v>
      </c>
      <c r="C104" s="109" t="s">
        <v>350</v>
      </c>
      <c r="D104" s="109"/>
      <c r="E104" s="109"/>
      <c r="F104" s="175"/>
      <c r="G104" s="119"/>
    </row>
    <row r="105" spans="1:7" s="106" customFormat="1" ht="47.25" hidden="1" customHeight="1" thickBot="1" x14ac:dyDescent="0.3">
      <c r="A105" s="173">
        <v>3</v>
      </c>
      <c r="B105" s="173" t="s">
        <v>316</v>
      </c>
      <c r="C105" s="109" t="s">
        <v>352</v>
      </c>
      <c r="D105" s="109"/>
      <c r="E105" s="109"/>
      <c r="F105" s="175"/>
      <c r="G105" s="119"/>
    </row>
    <row r="106" spans="1:7" s="106" customFormat="1" ht="47.25" hidden="1" customHeight="1" thickBot="1" x14ac:dyDescent="0.3">
      <c r="A106" s="173">
        <v>4</v>
      </c>
      <c r="B106" s="173" t="s">
        <v>317</v>
      </c>
      <c r="C106" s="109" t="s">
        <v>353</v>
      </c>
      <c r="D106" s="109"/>
      <c r="E106" s="109"/>
      <c r="F106" s="175"/>
      <c r="G106" s="119"/>
    </row>
    <row r="107" spans="1:7" s="106" customFormat="1" ht="47.25" hidden="1" customHeight="1" thickBot="1" x14ac:dyDescent="0.3">
      <c r="A107" s="173">
        <v>5</v>
      </c>
      <c r="B107" s="173" t="s">
        <v>318</v>
      </c>
      <c r="C107" s="109" t="s">
        <v>353</v>
      </c>
      <c r="D107" s="109"/>
      <c r="E107" s="109"/>
      <c r="F107" s="175"/>
      <c r="G107" s="119"/>
    </row>
    <row r="108" spans="1:7" s="106" customFormat="1" ht="47.25" hidden="1" customHeight="1" thickBot="1" x14ac:dyDescent="0.3">
      <c r="A108" s="173">
        <v>6</v>
      </c>
      <c r="B108" s="173" t="s">
        <v>319</v>
      </c>
      <c r="C108" s="109" t="s">
        <v>353</v>
      </c>
      <c r="D108" s="109"/>
      <c r="E108" s="109"/>
      <c r="F108" s="175"/>
      <c r="G108" s="119"/>
    </row>
    <row r="109" spans="1:7" s="106" customFormat="1" ht="19.5" hidden="1" thickBot="1" x14ac:dyDescent="0.3">
      <c r="A109" s="173"/>
      <c r="B109" s="126" t="s">
        <v>139</v>
      </c>
      <c r="C109" s="85" t="s">
        <v>140</v>
      </c>
      <c r="D109" s="85" t="s">
        <v>140</v>
      </c>
      <c r="E109" s="85" t="s">
        <v>140</v>
      </c>
      <c r="F109" s="85" t="s">
        <v>140</v>
      </c>
      <c r="G109" s="133">
        <f>G108+G107+G106+G105+G104+G103</f>
        <v>0</v>
      </c>
    </row>
    <row r="110" spans="1:7" s="106" customFormat="1" hidden="1" x14ac:dyDescent="0.25"/>
    <row r="111" spans="1:7" s="106" customFormat="1" ht="18.75" hidden="1" x14ac:dyDescent="0.25">
      <c r="A111" s="326" t="s">
        <v>176</v>
      </c>
      <c r="B111" s="326"/>
      <c r="C111" s="326"/>
      <c r="D111" s="326"/>
      <c r="E111" s="326"/>
      <c r="F111" s="118"/>
    </row>
    <row r="112" spans="1:7" s="106" customFormat="1" hidden="1" x14ac:dyDescent="0.25"/>
    <row r="113" spans="1:5" s="106" customFormat="1" ht="57" hidden="1" thickBot="1" x14ac:dyDescent="0.3">
      <c r="A113" s="108" t="s">
        <v>0</v>
      </c>
      <c r="B113" s="174" t="s">
        <v>1</v>
      </c>
      <c r="C113" s="174" t="s">
        <v>177</v>
      </c>
      <c r="D113" s="174" t="s">
        <v>178</v>
      </c>
      <c r="E113" s="174" t="s">
        <v>179</v>
      </c>
    </row>
    <row r="114" spans="1:5" s="106" customFormat="1" ht="19.5" hidden="1" thickBot="1" x14ac:dyDescent="0.3">
      <c r="A114" s="173">
        <v>1</v>
      </c>
      <c r="B114" s="175">
        <v>2</v>
      </c>
      <c r="C114" s="175">
        <v>3</v>
      </c>
      <c r="D114" s="175">
        <v>4</v>
      </c>
      <c r="E114" s="175">
        <v>5</v>
      </c>
    </row>
    <row r="115" spans="1:5" s="106" customFormat="1" ht="19.5" hidden="1" thickBot="1" x14ac:dyDescent="0.3">
      <c r="A115" s="173"/>
      <c r="B115" s="175"/>
      <c r="C115" s="175"/>
      <c r="D115" s="175"/>
      <c r="E115" s="175"/>
    </row>
    <row r="116" spans="1:5" s="106" customFormat="1" ht="19.5" hidden="1" thickBot="1" x14ac:dyDescent="0.3">
      <c r="A116" s="173"/>
      <c r="B116" s="110" t="s">
        <v>139</v>
      </c>
      <c r="C116" s="175" t="s">
        <v>140</v>
      </c>
      <c r="D116" s="175" t="s">
        <v>140</v>
      </c>
      <c r="E116" s="175" t="s">
        <v>140</v>
      </c>
    </row>
    <row r="117" spans="1:5" s="106" customFormat="1" hidden="1" x14ac:dyDescent="0.25"/>
    <row r="118" spans="1:5" s="106" customFormat="1" ht="39.75" hidden="1" customHeight="1" x14ac:dyDescent="0.25">
      <c r="A118" s="321" t="s">
        <v>195</v>
      </c>
      <c r="B118" s="321"/>
      <c r="C118" s="321"/>
      <c r="D118" s="321"/>
      <c r="E118" s="321"/>
    </row>
    <row r="119" spans="1:5" s="106" customFormat="1" ht="18.75" hidden="1" x14ac:dyDescent="0.25">
      <c r="A119" s="115"/>
    </row>
    <row r="120" spans="1:5" s="106" customFormat="1" ht="57" hidden="1" thickBot="1" x14ac:dyDescent="0.3">
      <c r="A120" s="108" t="s">
        <v>0</v>
      </c>
      <c r="B120" s="174" t="s">
        <v>141</v>
      </c>
      <c r="C120" s="174" t="s">
        <v>180</v>
      </c>
      <c r="D120" s="174" t="s">
        <v>181</v>
      </c>
      <c r="E120" s="174" t="s">
        <v>182</v>
      </c>
    </row>
    <row r="121" spans="1:5" s="106" customFormat="1" ht="19.5" hidden="1" thickBot="1" x14ac:dyDescent="0.3">
      <c r="A121" s="173">
        <v>1</v>
      </c>
      <c r="B121" s="175">
        <v>2</v>
      </c>
      <c r="C121" s="175">
        <v>3</v>
      </c>
      <c r="D121" s="175">
        <v>4</v>
      </c>
      <c r="E121" s="175">
        <v>5</v>
      </c>
    </row>
    <row r="122" spans="1:5" s="106" customFormat="1" ht="19.5" hidden="1" thickBot="1" x14ac:dyDescent="0.3">
      <c r="A122" s="173">
        <v>1</v>
      </c>
      <c r="B122" s="120" t="s">
        <v>321</v>
      </c>
      <c r="C122" s="175"/>
      <c r="D122" s="175"/>
      <c r="E122" s="129"/>
    </row>
    <row r="123" spans="1:5" s="106" customFormat="1" ht="19.5" hidden="1" thickBot="1" x14ac:dyDescent="0.3">
      <c r="A123" s="173">
        <v>2</v>
      </c>
      <c r="B123" s="120" t="s">
        <v>322</v>
      </c>
      <c r="C123" s="175"/>
      <c r="D123" s="175"/>
      <c r="E123" s="129"/>
    </row>
    <row r="124" spans="1:5" s="106" customFormat="1" ht="19.5" hidden="1" thickBot="1" x14ac:dyDescent="0.3">
      <c r="A124" s="173">
        <v>3</v>
      </c>
      <c r="B124" s="120" t="s">
        <v>323</v>
      </c>
      <c r="C124" s="175"/>
      <c r="D124" s="175"/>
      <c r="E124" s="129"/>
    </row>
    <row r="125" spans="1:5" s="106" customFormat="1" ht="38.25" hidden="1" thickBot="1" x14ac:dyDescent="0.3">
      <c r="A125" s="173">
        <v>4</v>
      </c>
      <c r="B125" s="120" t="s">
        <v>324</v>
      </c>
      <c r="C125" s="175"/>
      <c r="D125" s="175"/>
      <c r="E125" s="129"/>
    </row>
    <row r="126" spans="1:5" s="106" customFormat="1" ht="24.75" hidden="1" customHeight="1" thickBot="1" x14ac:dyDescent="0.3">
      <c r="A126" s="173">
        <v>5</v>
      </c>
      <c r="B126" s="120" t="s">
        <v>325</v>
      </c>
      <c r="C126" s="175"/>
      <c r="D126" s="175"/>
      <c r="E126" s="129"/>
    </row>
    <row r="127" spans="1:5" s="106" customFormat="1" ht="57" hidden="1" thickBot="1" x14ac:dyDescent="0.3">
      <c r="A127" s="173">
        <v>6</v>
      </c>
      <c r="B127" s="120" t="s">
        <v>326</v>
      </c>
      <c r="C127" s="175"/>
      <c r="D127" s="175"/>
      <c r="E127" s="129"/>
    </row>
    <row r="128" spans="1:5" s="106" customFormat="1" ht="19.5" hidden="1" thickBot="1" x14ac:dyDescent="0.3">
      <c r="A128" s="173">
        <v>7</v>
      </c>
      <c r="B128" s="120" t="s">
        <v>327</v>
      </c>
      <c r="C128" s="175"/>
      <c r="D128" s="175"/>
      <c r="E128" s="129"/>
    </row>
    <row r="129" spans="1:5" s="106" customFormat="1" ht="38.25" hidden="1" thickBot="1" x14ac:dyDescent="0.3">
      <c r="A129" s="173">
        <v>8</v>
      </c>
      <c r="B129" s="120" t="s">
        <v>328</v>
      </c>
      <c r="C129" s="175"/>
      <c r="D129" s="175"/>
      <c r="E129" s="129"/>
    </row>
    <row r="130" spans="1:5" s="106" customFormat="1" ht="38.25" hidden="1" thickBot="1" x14ac:dyDescent="0.3">
      <c r="A130" s="173">
        <v>9</v>
      </c>
      <c r="B130" s="120" t="s">
        <v>346</v>
      </c>
      <c r="C130" s="175"/>
      <c r="D130" s="175"/>
      <c r="E130" s="129"/>
    </row>
    <row r="131" spans="1:5" s="106" customFormat="1" ht="38.25" hidden="1" thickBot="1" x14ac:dyDescent="0.3">
      <c r="A131" s="173">
        <v>10</v>
      </c>
      <c r="B131" s="120" t="s">
        <v>329</v>
      </c>
      <c r="C131" s="175"/>
      <c r="D131" s="175"/>
      <c r="E131" s="129"/>
    </row>
    <row r="132" spans="1:5" s="106" customFormat="1" ht="57" hidden="1" thickBot="1" x14ac:dyDescent="0.3">
      <c r="A132" s="173">
        <v>11</v>
      </c>
      <c r="B132" s="120" t="s">
        <v>330</v>
      </c>
      <c r="C132" s="175"/>
      <c r="D132" s="175"/>
      <c r="E132" s="129"/>
    </row>
    <row r="133" spans="1:5" s="106" customFormat="1" ht="27" hidden="1" customHeight="1" thickBot="1" x14ac:dyDescent="0.3">
      <c r="A133" s="173"/>
      <c r="B133" s="175"/>
      <c r="C133" s="175"/>
      <c r="D133" s="175"/>
      <c r="E133" s="129"/>
    </row>
    <row r="134" spans="1:5" s="106" customFormat="1" ht="19.5" hidden="1" thickBot="1" x14ac:dyDescent="0.3">
      <c r="A134" s="173"/>
      <c r="B134" s="175"/>
      <c r="C134" s="175"/>
      <c r="D134" s="175"/>
      <c r="E134" s="129"/>
    </row>
    <row r="135" spans="1:5" s="106" customFormat="1" ht="19.5" hidden="1" thickBot="1" x14ac:dyDescent="0.3">
      <c r="A135" s="173"/>
      <c r="B135" s="126" t="s">
        <v>139</v>
      </c>
      <c r="C135" s="85" t="s">
        <v>140</v>
      </c>
      <c r="D135" s="85" t="s">
        <v>140</v>
      </c>
      <c r="E135" s="130">
        <f>SUM(E122:E134)</f>
        <v>0</v>
      </c>
    </row>
    <row r="136" spans="1:5" s="106" customFormat="1" hidden="1" x14ac:dyDescent="0.25"/>
    <row r="137" spans="1:5" s="106" customFormat="1" ht="37.5" hidden="1" customHeight="1" x14ac:dyDescent="0.25">
      <c r="A137" s="321" t="s">
        <v>183</v>
      </c>
      <c r="B137" s="321"/>
      <c r="C137" s="321"/>
      <c r="D137" s="321"/>
      <c r="E137" s="321"/>
    </row>
    <row r="138" spans="1:5" s="106" customFormat="1" ht="18.75" hidden="1" x14ac:dyDescent="0.25">
      <c r="A138" s="115"/>
    </row>
    <row r="139" spans="1:5" s="106" customFormat="1" ht="38.25" hidden="1" thickBot="1" x14ac:dyDescent="0.3">
      <c r="A139" s="108" t="s">
        <v>0</v>
      </c>
      <c r="B139" s="174" t="s">
        <v>141</v>
      </c>
      <c r="C139" s="174" t="s">
        <v>184</v>
      </c>
      <c r="D139" s="174" t="s">
        <v>185</v>
      </c>
    </row>
    <row r="140" spans="1:5" s="106" customFormat="1" ht="19.5" hidden="1" thickBot="1" x14ac:dyDescent="0.3">
      <c r="A140" s="173">
        <v>1</v>
      </c>
      <c r="B140" s="175">
        <v>2</v>
      </c>
      <c r="C140" s="175">
        <v>3</v>
      </c>
      <c r="D140" s="175">
        <v>4</v>
      </c>
    </row>
    <row r="141" spans="1:5" s="106" customFormat="1" ht="24.75" hidden="1" customHeight="1" thickBot="1" x14ac:dyDescent="0.3">
      <c r="A141" s="173">
        <v>1</v>
      </c>
      <c r="B141" s="120" t="s">
        <v>331</v>
      </c>
      <c r="C141" s="175"/>
      <c r="D141" s="129"/>
    </row>
    <row r="142" spans="1:5" s="106" customFormat="1" ht="24.75" hidden="1" customHeight="1" thickBot="1" x14ac:dyDescent="0.3">
      <c r="A142" s="173">
        <v>2</v>
      </c>
      <c r="B142" s="120" t="s">
        <v>332</v>
      </c>
      <c r="C142" s="175"/>
      <c r="D142" s="129"/>
    </row>
    <row r="143" spans="1:5" s="106" customFormat="1" ht="62.25" hidden="1" customHeight="1" thickBot="1" x14ac:dyDescent="0.3">
      <c r="A143" s="173">
        <v>3</v>
      </c>
      <c r="B143" s="120" t="s">
        <v>333</v>
      </c>
      <c r="C143" s="175"/>
      <c r="D143" s="129"/>
    </row>
    <row r="144" spans="1:5" s="106" customFormat="1" ht="24.75" hidden="1" customHeight="1" thickBot="1" x14ac:dyDescent="0.3">
      <c r="A144" s="173">
        <v>4</v>
      </c>
      <c r="B144" s="120" t="s">
        <v>334</v>
      </c>
      <c r="C144" s="175"/>
      <c r="D144" s="129"/>
    </row>
    <row r="145" spans="1:6" s="106" customFormat="1" ht="24.75" hidden="1" customHeight="1" thickBot="1" x14ac:dyDescent="0.3">
      <c r="A145" s="173"/>
      <c r="B145" s="175"/>
      <c r="C145" s="175"/>
      <c r="D145" s="129"/>
    </row>
    <row r="146" spans="1:6" s="106" customFormat="1" ht="19.5" hidden="1" thickBot="1" x14ac:dyDescent="0.3">
      <c r="A146" s="173"/>
      <c r="B146" s="175"/>
      <c r="C146" s="175"/>
      <c r="D146" s="129"/>
    </row>
    <row r="147" spans="1:6" s="106" customFormat="1" ht="19.5" hidden="1" thickBot="1" x14ac:dyDescent="0.3">
      <c r="A147" s="173"/>
      <c r="B147" s="175"/>
      <c r="C147" s="175"/>
      <c r="D147" s="129"/>
    </row>
    <row r="148" spans="1:6" s="106" customFormat="1" ht="19.5" hidden="1" thickBot="1" x14ac:dyDescent="0.3">
      <c r="A148" s="173"/>
      <c r="B148" s="126" t="s">
        <v>139</v>
      </c>
      <c r="C148" s="85" t="s">
        <v>140</v>
      </c>
      <c r="D148" s="130">
        <f>D147+D146+D145+D144+D143+D142+D141</f>
        <v>0</v>
      </c>
    </row>
    <row r="149" spans="1:6" s="106" customFormat="1" hidden="1" x14ac:dyDescent="0.25"/>
    <row r="150" spans="1:6" s="106" customFormat="1" ht="51" customHeight="1" x14ac:dyDescent="0.25">
      <c r="A150" s="321" t="s">
        <v>364</v>
      </c>
      <c r="B150" s="321"/>
      <c r="C150" s="321"/>
      <c r="D150" s="321"/>
      <c r="E150" s="321"/>
      <c r="F150" s="321"/>
    </row>
    <row r="151" spans="1:6" s="106" customFormat="1" ht="15.75" thickBot="1" x14ac:dyDescent="0.3"/>
    <row r="152" spans="1:6" s="106" customFormat="1" ht="57" thickBot="1" x14ac:dyDescent="0.3">
      <c r="A152" s="108" t="s">
        <v>0</v>
      </c>
      <c r="B152" s="174" t="s">
        <v>141</v>
      </c>
      <c r="C152" s="174" t="s">
        <v>365</v>
      </c>
      <c r="D152" s="174" t="s">
        <v>186</v>
      </c>
      <c r="E152" s="174" t="s">
        <v>187</v>
      </c>
    </row>
    <row r="153" spans="1:6" s="106" customFormat="1" ht="19.5" thickBot="1" x14ac:dyDescent="0.3">
      <c r="A153" s="173"/>
      <c r="B153" s="175">
        <v>1</v>
      </c>
      <c r="C153" s="175">
        <v>2</v>
      </c>
      <c r="D153" s="175">
        <v>3</v>
      </c>
      <c r="E153" s="175">
        <v>4</v>
      </c>
    </row>
    <row r="154" spans="1:6" s="106" customFormat="1" ht="49.5" customHeight="1" thickBot="1" x14ac:dyDescent="0.3">
      <c r="A154" s="173"/>
      <c r="B154" s="120" t="s">
        <v>340</v>
      </c>
      <c r="C154" s="175"/>
      <c r="D154" s="129"/>
      <c r="E154" s="129">
        <f>SUM(E155:E156)</f>
        <v>6248092.5</v>
      </c>
    </row>
    <row r="155" spans="1:6" s="106" customFormat="1" ht="85.5" customHeight="1" thickBot="1" x14ac:dyDescent="0.3">
      <c r="A155" s="173"/>
      <c r="B155" s="120" t="s">
        <v>367</v>
      </c>
      <c r="C155" s="175">
        <v>28950</v>
      </c>
      <c r="D155" s="129">
        <v>203.19</v>
      </c>
      <c r="E155" s="129">
        <f>C155*D155</f>
        <v>5882350.5</v>
      </c>
    </row>
    <row r="156" spans="1:6" s="106" customFormat="1" ht="85.5" customHeight="1" thickBot="1" x14ac:dyDescent="0.3">
      <c r="A156" s="173"/>
      <c r="B156" s="120" t="s">
        <v>368</v>
      </c>
      <c r="C156" s="175">
        <v>3600</v>
      </c>
      <c r="D156" s="129">
        <f>D155/2</f>
        <v>101.595</v>
      </c>
      <c r="E156" s="129">
        <f>C156*D156</f>
        <v>365742</v>
      </c>
    </row>
    <row r="157" spans="1:6" s="106" customFormat="1" ht="50.25" customHeight="1" thickBot="1" x14ac:dyDescent="0.3">
      <c r="A157" s="172"/>
      <c r="B157" s="128" t="s">
        <v>348</v>
      </c>
      <c r="C157" s="85"/>
      <c r="D157" s="130"/>
      <c r="E157" s="130">
        <f>E154</f>
        <v>6248092.5</v>
      </c>
    </row>
    <row r="159" spans="1:6" x14ac:dyDescent="0.25">
      <c r="A159" t="s">
        <v>420</v>
      </c>
    </row>
    <row r="160" spans="1:6" x14ac:dyDescent="0.25">
      <c r="A160" t="s">
        <v>428</v>
      </c>
    </row>
  </sheetData>
  <mergeCells count="35">
    <mergeCell ref="A72:G72"/>
    <mergeCell ref="A80:I80"/>
    <mergeCell ref="A150:F150"/>
    <mergeCell ref="A85:F85"/>
    <mergeCell ref="A92:F92"/>
    <mergeCell ref="A99:F99"/>
    <mergeCell ref="A111:E111"/>
    <mergeCell ref="A118:E118"/>
    <mergeCell ref="A137:E137"/>
    <mergeCell ref="A57:F57"/>
    <mergeCell ref="A59:F59"/>
    <mergeCell ref="A60:F60"/>
    <mergeCell ref="A68:G68"/>
    <mergeCell ref="A71:G71"/>
    <mergeCell ref="A31:F31"/>
    <mergeCell ref="A38:F38"/>
    <mergeCell ref="A45:E45"/>
    <mergeCell ref="A50:A51"/>
    <mergeCell ref="C50:C51"/>
    <mergeCell ref="D50:D51"/>
    <mergeCell ref="I20:I22"/>
    <mergeCell ref="J20:J22"/>
    <mergeCell ref="D21:D22"/>
    <mergeCell ref="E21:G21"/>
    <mergeCell ref="A28:B28"/>
    <mergeCell ref="A20:A22"/>
    <mergeCell ref="B20:B22"/>
    <mergeCell ref="C20:C22"/>
    <mergeCell ref="D20:G20"/>
    <mergeCell ref="H20:H22"/>
    <mergeCell ref="A11:J11"/>
    <mergeCell ref="A13:J13"/>
    <mergeCell ref="A15:J15"/>
    <mergeCell ref="A16:J16"/>
    <mergeCell ref="A18:J18"/>
  </mergeCells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="60" workbookViewId="0">
      <selection activeCell="E65" sqref="E65"/>
    </sheetView>
  </sheetViews>
  <sheetFormatPr defaultRowHeight="15" x14ac:dyDescent="0.25"/>
  <cols>
    <col min="1" max="1" width="13.42578125" style="25" customWidth="1"/>
    <col min="2" max="2" width="15.85546875" style="25" customWidth="1"/>
    <col min="3" max="3" width="19.42578125" style="25" customWidth="1"/>
    <col min="4" max="4" width="11.85546875" style="25" customWidth="1"/>
    <col min="5" max="5" width="16.140625" style="25" customWidth="1"/>
    <col min="6" max="6" width="8.85546875" style="25" customWidth="1"/>
    <col min="7" max="7" width="9.140625" style="25"/>
    <col min="8" max="8" width="14.140625" style="25" customWidth="1"/>
    <col min="9" max="9" width="17.28515625" style="25" customWidth="1"/>
    <col min="10" max="10" width="12.7109375" style="25" customWidth="1"/>
    <col min="11" max="14" width="9.140625" style="25"/>
    <col min="15" max="15" width="14.5703125" style="25" customWidth="1"/>
    <col min="16" max="16384" width="9.140625" style="25"/>
  </cols>
  <sheetData>
    <row r="1" spans="4:10" ht="18.75" x14ac:dyDescent="0.25">
      <c r="J1" s="11" t="s">
        <v>196</v>
      </c>
    </row>
    <row r="2" spans="4:10" ht="18.75" x14ac:dyDescent="0.25">
      <c r="J2" s="11" t="s">
        <v>120</v>
      </c>
    </row>
    <row r="3" spans="4:10" ht="16.5" x14ac:dyDescent="0.25">
      <c r="J3" s="21" t="s">
        <v>121</v>
      </c>
    </row>
    <row r="4" spans="4:10" ht="16.5" x14ac:dyDescent="0.25">
      <c r="J4" s="21" t="s">
        <v>122</v>
      </c>
    </row>
    <row r="5" spans="4:10" ht="16.5" x14ac:dyDescent="0.25">
      <c r="J5" s="21" t="s">
        <v>123</v>
      </c>
    </row>
    <row r="6" spans="4:10" ht="16.5" x14ac:dyDescent="0.25">
      <c r="J6" s="21" t="s">
        <v>124</v>
      </c>
    </row>
    <row r="7" spans="4:10" ht="16.5" x14ac:dyDescent="0.25">
      <c r="J7" s="21" t="s">
        <v>125</v>
      </c>
    </row>
    <row r="8" spans="4:10" ht="16.5" x14ac:dyDescent="0.25">
      <c r="J8" s="21" t="s">
        <v>126</v>
      </c>
    </row>
    <row r="10" spans="4:10" x14ac:dyDescent="0.25">
      <c r="J10" s="14" t="s">
        <v>197</v>
      </c>
    </row>
    <row r="11" spans="4:10" x14ac:dyDescent="0.25">
      <c r="F11" s="338"/>
      <c r="G11" s="338"/>
      <c r="H11" s="338"/>
      <c r="I11" s="338"/>
      <c r="J11" s="338"/>
    </row>
    <row r="12" spans="4:10" ht="18.75" x14ac:dyDescent="0.25">
      <c r="D12" s="9" t="s">
        <v>222</v>
      </c>
      <c r="E12" s="9"/>
      <c r="F12" s="345" t="s">
        <v>223</v>
      </c>
      <c r="G12" s="345"/>
      <c r="H12" s="345"/>
      <c r="I12" s="345"/>
      <c r="J12" s="345"/>
    </row>
    <row r="13" spans="4:10" ht="24.75" customHeight="1" x14ac:dyDescent="0.25">
      <c r="D13" s="9"/>
      <c r="E13" s="9"/>
      <c r="F13" s="349"/>
      <c r="G13" s="349"/>
      <c r="H13" s="349"/>
      <c r="I13" s="349"/>
      <c r="J13" s="349"/>
    </row>
    <row r="14" spans="4:10" x14ac:dyDescent="0.25">
      <c r="F14" s="345" t="s">
        <v>198</v>
      </c>
      <c r="G14" s="345"/>
      <c r="H14" s="345"/>
      <c r="I14" s="345"/>
      <c r="J14" s="345"/>
    </row>
    <row r="15" spans="4:10" ht="19.5" customHeight="1" x14ac:dyDescent="0.25">
      <c r="D15" s="9"/>
      <c r="E15" s="9"/>
      <c r="F15" s="335" t="s">
        <v>199</v>
      </c>
      <c r="G15" s="335"/>
      <c r="H15" s="335"/>
      <c r="I15" s="335"/>
      <c r="J15" s="335"/>
    </row>
    <row r="16" spans="4:10" x14ac:dyDescent="0.25">
      <c r="D16" s="24"/>
      <c r="E16" s="24"/>
      <c r="F16" s="350" t="s">
        <v>200</v>
      </c>
      <c r="G16" s="350"/>
      <c r="H16" s="350"/>
      <c r="I16" s="350"/>
      <c r="J16" s="350"/>
    </row>
    <row r="17" spans="1:10" ht="30.75" customHeight="1" x14ac:dyDescent="0.25">
      <c r="D17" s="9"/>
      <c r="E17" s="9"/>
      <c r="F17" s="335" t="s">
        <v>201</v>
      </c>
      <c r="G17" s="335"/>
      <c r="H17" s="335"/>
      <c r="I17" s="335"/>
      <c r="J17" s="335"/>
    </row>
    <row r="18" spans="1:10" x14ac:dyDescent="0.25">
      <c r="G18" s="26"/>
    </row>
    <row r="19" spans="1:10" ht="15" customHeight="1" x14ac:dyDescent="0.25">
      <c r="A19" s="335" t="s">
        <v>202</v>
      </c>
      <c r="B19" s="335"/>
      <c r="C19" s="335"/>
      <c r="D19" s="335"/>
      <c r="E19" s="335"/>
      <c r="F19" s="335"/>
      <c r="G19" s="335"/>
      <c r="H19" s="335"/>
      <c r="I19" s="335"/>
    </row>
    <row r="20" spans="1:10" ht="22.5" customHeight="1" x14ac:dyDescent="0.25">
      <c r="A20" s="335" t="s">
        <v>203</v>
      </c>
      <c r="B20" s="335"/>
      <c r="C20" s="335"/>
      <c r="D20" s="335"/>
      <c r="E20" s="335"/>
      <c r="F20" s="335"/>
      <c r="G20" s="335"/>
      <c r="H20" s="335"/>
      <c r="I20" s="335"/>
    </row>
    <row r="21" spans="1:10" ht="26.25" customHeight="1" x14ac:dyDescent="0.25">
      <c r="A21" s="335" t="s">
        <v>204</v>
      </c>
      <c r="B21" s="335"/>
      <c r="C21" s="335"/>
      <c r="D21" s="335"/>
      <c r="E21" s="335"/>
      <c r="F21" s="335"/>
      <c r="G21" s="335"/>
      <c r="H21" s="335"/>
      <c r="I21" s="335"/>
    </row>
    <row r="22" spans="1:10" x14ac:dyDescent="0.25">
      <c r="E22" s="26"/>
    </row>
    <row r="23" spans="1:10" x14ac:dyDescent="0.25">
      <c r="I23" s="33" t="s">
        <v>205</v>
      </c>
    </row>
    <row r="24" spans="1:10" x14ac:dyDescent="0.25">
      <c r="G24" s="339" t="s">
        <v>206</v>
      </c>
      <c r="H24" s="340"/>
      <c r="I24" s="33">
        <v>501016</v>
      </c>
    </row>
    <row r="25" spans="1:10" x14ac:dyDescent="0.25">
      <c r="C25" s="343" t="s">
        <v>212</v>
      </c>
      <c r="D25" s="343"/>
      <c r="E25" s="343"/>
      <c r="F25" s="343"/>
      <c r="G25" s="339" t="s">
        <v>32</v>
      </c>
      <c r="H25" s="340"/>
      <c r="I25" s="33"/>
    </row>
    <row r="26" spans="1:10" ht="49.5" customHeight="1" x14ac:dyDescent="0.25">
      <c r="A26" s="344" t="s">
        <v>213</v>
      </c>
      <c r="B26" s="344"/>
      <c r="C26" s="344"/>
      <c r="D26" s="343" t="s">
        <v>214</v>
      </c>
      <c r="E26" s="343"/>
      <c r="F26" s="343"/>
      <c r="G26" s="339" t="s">
        <v>33</v>
      </c>
      <c r="H26" s="340"/>
      <c r="I26" s="33"/>
    </row>
    <row r="27" spans="1:10" x14ac:dyDescent="0.25">
      <c r="A27" s="28"/>
      <c r="B27" s="28"/>
      <c r="C27" s="28"/>
      <c r="D27" s="29"/>
      <c r="E27" s="29"/>
      <c r="F27" s="29"/>
      <c r="G27" s="30"/>
      <c r="H27" s="31"/>
      <c r="I27" s="341"/>
    </row>
    <row r="28" spans="1:10" ht="36.75" customHeight="1" x14ac:dyDescent="0.25">
      <c r="C28" s="343" t="s">
        <v>215</v>
      </c>
      <c r="D28" s="351"/>
      <c r="E28" s="27"/>
      <c r="G28" s="339" t="s">
        <v>207</v>
      </c>
      <c r="H28" s="340"/>
      <c r="I28" s="342"/>
    </row>
    <row r="29" spans="1:10" ht="26.25" customHeight="1" x14ac:dyDescent="0.25">
      <c r="A29" s="344" t="s">
        <v>216</v>
      </c>
      <c r="B29" s="344"/>
      <c r="C29" s="344"/>
      <c r="D29" s="343" t="s">
        <v>214</v>
      </c>
      <c r="E29" s="343"/>
      <c r="F29" s="343"/>
      <c r="G29" s="339" t="s">
        <v>208</v>
      </c>
      <c r="H29" s="340"/>
      <c r="I29" s="33"/>
    </row>
    <row r="30" spans="1:10" x14ac:dyDescent="0.25">
      <c r="G30" s="339"/>
      <c r="H30" s="340"/>
      <c r="I30" s="33"/>
    </row>
    <row r="31" spans="1:10" ht="48" customHeight="1" x14ac:dyDescent="0.25">
      <c r="A31" s="344" t="s">
        <v>217</v>
      </c>
      <c r="B31" s="344"/>
      <c r="C31" s="344"/>
      <c r="D31" s="343" t="s">
        <v>214</v>
      </c>
      <c r="E31" s="343"/>
      <c r="F31" s="343"/>
      <c r="G31" s="339" t="s">
        <v>209</v>
      </c>
      <c r="H31" s="340"/>
      <c r="I31" s="33"/>
    </row>
    <row r="32" spans="1:10" ht="51" customHeight="1" x14ac:dyDescent="0.25">
      <c r="A32" s="344" t="s">
        <v>218</v>
      </c>
      <c r="B32" s="344"/>
      <c r="C32" s="344"/>
      <c r="D32" s="343" t="s">
        <v>214</v>
      </c>
      <c r="E32" s="343"/>
      <c r="F32" s="343"/>
      <c r="G32" s="339" t="s">
        <v>33</v>
      </c>
      <c r="H32" s="340"/>
      <c r="I32" s="33"/>
    </row>
    <row r="33" spans="1:10" ht="27" customHeight="1" x14ac:dyDescent="0.25">
      <c r="A33" s="25" t="s">
        <v>219</v>
      </c>
      <c r="G33" s="339" t="s">
        <v>210</v>
      </c>
      <c r="H33" s="340"/>
      <c r="I33" s="33"/>
    </row>
    <row r="34" spans="1:10" ht="27" customHeight="1" x14ac:dyDescent="0.25">
      <c r="B34" s="346"/>
      <c r="C34" s="346"/>
      <c r="D34" s="346"/>
      <c r="E34" s="346"/>
      <c r="G34" s="30"/>
      <c r="H34" s="31"/>
      <c r="I34" s="354"/>
    </row>
    <row r="35" spans="1:10" x14ac:dyDescent="0.25">
      <c r="B35" s="343" t="s">
        <v>220</v>
      </c>
      <c r="C35" s="343"/>
      <c r="D35" s="343"/>
      <c r="E35" s="343"/>
      <c r="G35" s="339" t="s">
        <v>211</v>
      </c>
      <c r="H35" s="340"/>
      <c r="I35" s="354"/>
    </row>
    <row r="36" spans="1:10" x14ac:dyDescent="0.25">
      <c r="G36" s="347"/>
      <c r="H36" s="352"/>
      <c r="I36" s="32"/>
    </row>
    <row r="37" spans="1:10" x14ac:dyDescent="0.25">
      <c r="D37" s="347" t="s">
        <v>221</v>
      </c>
      <c r="E37" s="347"/>
      <c r="F37" s="347"/>
      <c r="G37" s="348"/>
      <c r="H37" s="353"/>
      <c r="I37" s="353"/>
    </row>
    <row r="39" spans="1:10" ht="15.75" thickBot="1" x14ac:dyDescent="0.3"/>
    <row r="40" spans="1:10" ht="186.75" customHeight="1" thickBot="1" x14ac:dyDescent="0.3">
      <c r="A40" s="273" t="s">
        <v>224</v>
      </c>
      <c r="B40" s="273" t="s">
        <v>225</v>
      </c>
      <c r="C40" s="273" t="s">
        <v>42</v>
      </c>
      <c r="D40" s="273" t="s">
        <v>226</v>
      </c>
      <c r="E40" s="304" t="s">
        <v>227</v>
      </c>
      <c r="F40" s="306"/>
      <c r="G40" s="304" t="s">
        <v>228</v>
      </c>
      <c r="H40" s="306"/>
      <c r="I40" s="304" t="s">
        <v>229</v>
      </c>
      <c r="J40" s="306"/>
    </row>
    <row r="41" spans="1:10" ht="19.5" thickBot="1" x14ac:dyDescent="0.3">
      <c r="A41" s="274"/>
      <c r="B41" s="274"/>
      <c r="C41" s="274"/>
      <c r="D41" s="274"/>
      <c r="E41" s="18" t="s">
        <v>230</v>
      </c>
      <c r="F41" s="18" t="s">
        <v>231</v>
      </c>
      <c r="G41" s="18" t="s">
        <v>230</v>
      </c>
      <c r="H41" s="18" t="s">
        <v>231</v>
      </c>
      <c r="I41" s="18" t="s">
        <v>232</v>
      </c>
      <c r="J41" s="18" t="s">
        <v>233</v>
      </c>
    </row>
    <row r="42" spans="1:10" ht="19.5" thickBot="1" x14ac:dyDescent="0.3">
      <c r="A42" s="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</row>
    <row r="43" spans="1:10" ht="19.5" thickBot="1" x14ac:dyDescent="0.3">
      <c r="A43" s="6"/>
      <c r="B43" s="4"/>
      <c r="C43" s="4"/>
      <c r="D43" s="4"/>
      <c r="E43" s="4"/>
      <c r="F43" s="4"/>
      <c r="G43" s="4"/>
      <c r="H43" s="4"/>
      <c r="I43" s="4"/>
      <c r="J43" s="4"/>
    </row>
    <row r="44" spans="1:10" ht="19.5" thickBot="1" x14ac:dyDescent="0.3">
      <c r="A44" s="6"/>
      <c r="B44" s="4"/>
      <c r="C44" s="4"/>
      <c r="D44" s="4"/>
      <c r="E44" s="4"/>
      <c r="F44" s="4"/>
      <c r="G44" s="4"/>
      <c r="H44" s="4"/>
      <c r="I44" s="4"/>
      <c r="J44" s="4"/>
    </row>
    <row r="45" spans="1:10" ht="19.5" thickBot="1" x14ac:dyDescent="0.3">
      <c r="A45" s="6"/>
      <c r="B45" s="4"/>
      <c r="C45" s="34"/>
      <c r="D45" s="36"/>
      <c r="E45" s="35" t="s">
        <v>44</v>
      </c>
      <c r="F45" s="4"/>
      <c r="G45" s="18" t="s">
        <v>51</v>
      </c>
      <c r="H45" s="4"/>
      <c r="I45" s="4"/>
      <c r="J45" s="4"/>
    </row>
    <row r="47" spans="1:10" ht="18.75" x14ac:dyDescent="0.25">
      <c r="A47" s="355" t="s">
        <v>235</v>
      </c>
      <c r="B47" s="355"/>
      <c r="C47" s="355" t="s">
        <v>236</v>
      </c>
      <c r="D47" s="355"/>
    </row>
    <row r="48" spans="1:10" ht="18.75" x14ac:dyDescent="0.25">
      <c r="A48" s="355" t="s">
        <v>237</v>
      </c>
      <c r="B48" s="355"/>
      <c r="C48" s="356" t="s">
        <v>244</v>
      </c>
      <c r="D48" s="356"/>
      <c r="E48" s="40"/>
      <c r="F48" s="40"/>
      <c r="G48" s="40"/>
    </row>
    <row r="49" spans="1:16" ht="18.75" x14ac:dyDescent="0.25">
      <c r="A49" s="355" t="s">
        <v>238</v>
      </c>
      <c r="B49" s="355"/>
      <c r="C49" s="356" t="s">
        <v>239</v>
      </c>
      <c r="D49" s="356"/>
      <c r="E49" s="356"/>
      <c r="F49" s="356"/>
      <c r="G49" s="356"/>
    </row>
    <row r="50" spans="1:16" x14ac:dyDescent="0.25">
      <c r="A50" s="26"/>
      <c r="B50"/>
      <c r="C50" s="357" t="s">
        <v>240</v>
      </c>
      <c r="D50" s="357"/>
      <c r="E50" s="357"/>
      <c r="F50" s="357"/>
      <c r="G50" s="357"/>
    </row>
    <row r="51" spans="1:16" x14ac:dyDescent="0.25">
      <c r="A51" s="26"/>
      <c r="B51"/>
    </row>
    <row r="52" spans="1:16" ht="35.25" customHeight="1" x14ac:dyDescent="0.25">
      <c r="A52" s="248" t="s">
        <v>242</v>
      </c>
      <c r="B52" s="248"/>
      <c r="C52" s="356" t="s">
        <v>239</v>
      </c>
      <c r="D52" s="356"/>
      <c r="E52" s="356"/>
      <c r="F52" s="356"/>
      <c r="G52" s="356"/>
      <c r="H52" s="344" t="s">
        <v>234</v>
      </c>
      <c r="I52" s="344"/>
      <c r="J52" s="344"/>
      <c r="K52" s="344"/>
      <c r="L52" s="344"/>
      <c r="M52" s="344"/>
      <c r="N52" s="344"/>
      <c r="O52" s="344"/>
      <c r="P52" s="344"/>
    </row>
    <row r="53" spans="1:16" ht="18.75" x14ac:dyDescent="0.25">
      <c r="A53" s="37" t="s">
        <v>241</v>
      </c>
      <c r="B53" s="23"/>
      <c r="C53" s="357" t="s">
        <v>240</v>
      </c>
      <c r="D53" s="357"/>
      <c r="E53" s="357"/>
      <c r="F53" s="357"/>
      <c r="G53" s="357"/>
    </row>
    <row r="54" spans="1:16" ht="75" customHeight="1" x14ac:dyDescent="0.25">
      <c r="A54" s="248" t="s">
        <v>243</v>
      </c>
      <c r="B54" s="248"/>
      <c r="C54" s="356" t="s">
        <v>245</v>
      </c>
      <c r="D54" s="356"/>
      <c r="E54" s="356"/>
      <c r="F54" s="356"/>
      <c r="G54" s="356"/>
      <c r="H54" s="358" t="s">
        <v>243</v>
      </c>
      <c r="I54" s="358"/>
      <c r="J54" s="343" t="s">
        <v>245</v>
      </c>
      <c r="K54" s="343"/>
      <c r="L54" s="343"/>
      <c r="M54" s="343"/>
      <c r="N54" s="343"/>
      <c r="O54" s="343"/>
      <c r="P54" s="343"/>
    </row>
    <row r="55" spans="1:16" ht="18.75" x14ac:dyDescent="0.25">
      <c r="A55" s="37"/>
      <c r="B55" s="23"/>
      <c r="C55" s="359" t="s">
        <v>246</v>
      </c>
      <c r="D55" s="359"/>
      <c r="E55" s="359"/>
      <c r="F55" s="359"/>
      <c r="G55" s="359"/>
      <c r="J55" s="25" t="s">
        <v>247</v>
      </c>
    </row>
    <row r="56" spans="1:16" ht="18.75" x14ac:dyDescent="0.25">
      <c r="A56" s="23"/>
      <c r="B56" s="38"/>
    </row>
    <row r="57" spans="1:16" ht="18.75" x14ac:dyDescent="0.25">
      <c r="A57" s="248" t="s">
        <v>248</v>
      </c>
      <c r="B57" s="248"/>
      <c r="C57" s="248"/>
      <c r="D57" s="248"/>
      <c r="H57" s="356" t="s">
        <v>248</v>
      </c>
      <c r="I57" s="356"/>
      <c r="J57" s="356"/>
      <c r="K57" s="356"/>
    </row>
    <row r="58" spans="1:16" ht="18.75" x14ac:dyDescent="0.25">
      <c r="A58" s="38"/>
      <c r="B58" s="23"/>
    </row>
    <row r="59" spans="1:16" x14ac:dyDescent="0.25">
      <c r="A59" s="38"/>
      <c r="B59" s="39"/>
    </row>
    <row r="60" spans="1:16" ht="18.75" x14ac:dyDescent="0.25">
      <c r="A60" s="23"/>
      <c r="B60" s="39"/>
    </row>
    <row r="61" spans="1:16" x14ac:dyDescent="0.25">
      <c r="A61" s="38"/>
      <c r="B61" s="39"/>
    </row>
  </sheetData>
  <customSheetViews>
    <customSheetView guid="{91D40EB3-3AB1-43EC-9BD4-811B569873C7}" scale="60" showPageBreaks="1" printArea="1" view="pageBreakPreview" topLeftCell="A34">
      <selection activeCell="E65" sqref="E65"/>
      <pageMargins left="0.7" right="0.7" top="0.75" bottom="0.75" header="0.3" footer="0.3"/>
      <pageSetup paperSize="9" scale="63" orientation="landscape" r:id="rId1"/>
    </customSheetView>
    <customSheetView guid="{30DD97D7-A999-4776-AF65-71256237214E}" scale="60" showPageBreaks="1" printArea="1" view="pageBreakPreview" topLeftCell="A34">
      <selection activeCell="E65" sqref="E65"/>
      <pageMargins left="0.7" right="0.7" top="0.75" bottom="0.75" header="0.3" footer="0.3"/>
      <pageSetup paperSize="9" scale="63" orientation="landscape" r:id="rId2"/>
    </customSheetView>
    <customSheetView guid="{FB496A58-F583-46B2-B046-A2748948A2F7}" scale="60" showPageBreaks="1" printArea="1" view="pageBreakPreview" topLeftCell="A34">
      <selection activeCell="E65" sqref="E65"/>
      <pageMargins left="0.7" right="0.7" top="0.75" bottom="0.75" header="0.3" footer="0.3"/>
      <pageSetup paperSize="9" scale="63" orientation="landscape" r:id="rId3"/>
    </customSheetView>
  </customSheetViews>
  <mergeCells count="62">
    <mergeCell ref="J54:P54"/>
    <mergeCell ref="H54:I54"/>
    <mergeCell ref="A57:D57"/>
    <mergeCell ref="H57:K57"/>
    <mergeCell ref="H52:P52"/>
    <mergeCell ref="C55:G55"/>
    <mergeCell ref="C50:G50"/>
    <mergeCell ref="A52:B52"/>
    <mergeCell ref="C52:G52"/>
    <mergeCell ref="C53:G53"/>
    <mergeCell ref="A54:B54"/>
    <mergeCell ref="C54:G54"/>
    <mergeCell ref="A48:B48"/>
    <mergeCell ref="A47:B47"/>
    <mergeCell ref="A49:B49"/>
    <mergeCell ref="C49:G49"/>
    <mergeCell ref="C48:D48"/>
    <mergeCell ref="C47:D47"/>
    <mergeCell ref="D40:D41"/>
    <mergeCell ref="E40:F40"/>
    <mergeCell ref="G40:H40"/>
    <mergeCell ref="A29:C29"/>
    <mergeCell ref="D29:F29"/>
    <mergeCell ref="D31:F31"/>
    <mergeCell ref="A32:C32"/>
    <mergeCell ref="G35:H35"/>
    <mergeCell ref="G36:H36"/>
    <mergeCell ref="H37:I37"/>
    <mergeCell ref="I40:J40"/>
    <mergeCell ref="A40:A41"/>
    <mergeCell ref="B40:B41"/>
    <mergeCell ref="C40:C41"/>
    <mergeCell ref="I34:I35"/>
    <mergeCell ref="B35:E35"/>
    <mergeCell ref="B34:E34"/>
    <mergeCell ref="D37:G37"/>
    <mergeCell ref="G33:H33"/>
    <mergeCell ref="D32:F32"/>
    <mergeCell ref="F12:J12"/>
    <mergeCell ref="F13:J13"/>
    <mergeCell ref="F15:J15"/>
    <mergeCell ref="F16:J16"/>
    <mergeCell ref="F17:J17"/>
    <mergeCell ref="A31:C31"/>
    <mergeCell ref="D26:F26"/>
    <mergeCell ref="C28:D28"/>
    <mergeCell ref="G28:H28"/>
    <mergeCell ref="A21:I21"/>
    <mergeCell ref="F11:J11"/>
    <mergeCell ref="G29:H29"/>
    <mergeCell ref="G30:H30"/>
    <mergeCell ref="G31:H31"/>
    <mergeCell ref="G32:H32"/>
    <mergeCell ref="I27:I28"/>
    <mergeCell ref="A19:I19"/>
    <mergeCell ref="A20:I20"/>
    <mergeCell ref="G24:H24"/>
    <mergeCell ref="G25:H25"/>
    <mergeCell ref="G26:H26"/>
    <mergeCell ref="C25:F25"/>
    <mergeCell ref="A26:C26"/>
    <mergeCell ref="F14:J14"/>
  </mergeCells>
  <pageMargins left="0.7" right="0.7" top="0.75" bottom="0.75" header="0.3" footer="0.3"/>
  <pageSetup paperSize="9" scale="63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65"/>
  <sheetViews>
    <sheetView view="pageBreakPreview" topLeftCell="A52" zoomScale="70" zoomScaleNormal="70" zoomScaleSheetLayoutView="70" zoomScalePageLayoutView="70" workbookViewId="0">
      <selection activeCell="E27" sqref="E27"/>
    </sheetView>
  </sheetViews>
  <sheetFormatPr defaultColWidth="28.85546875" defaultRowHeight="15" x14ac:dyDescent="0.25"/>
  <cols>
    <col min="1" max="1" width="38.85546875" style="15" customWidth="1"/>
    <col min="2" max="2" width="9.5703125" style="15" customWidth="1"/>
    <col min="3" max="3" width="27.7109375" style="15" customWidth="1"/>
    <col min="4" max="4" width="32.140625" style="15" customWidth="1"/>
    <col min="5" max="5" width="21.5703125" style="99" customWidth="1"/>
    <col min="6" max="7" width="18.5703125" style="99" customWidth="1"/>
    <col min="8" max="8" width="17.140625" style="99" customWidth="1"/>
    <col min="9" max="9" width="16.5703125" style="15" customWidth="1"/>
    <col min="10" max="10" width="22.85546875" style="99" customWidth="1"/>
    <col min="11" max="11" width="19.7109375" style="99" customWidth="1"/>
    <col min="12" max="12" width="23.85546875" style="99" customWidth="1"/>
    <col min="13" max="13" width="36.42578125" style="15" customWidth="1"/>
    <col min="14" max="16384" width="28.85546875" style="15"/>
  </cols>
  <sheetData>
    <row r="3" spans="1:13" ht="19.5" customHeight="1" x14ac:dyDescent="0.25">
      <c r="A3" s="268" t="s">
        <v>92</v>
      </c>
      <c r="B3" s="268"/>
      <c r="C3" s="268"/>
      <c r="D3" s="268"/>
      <c r="E3" s="268"/>
      <c r="F3" s="268"/>
      <c r="G3" s="268"/>
      <c r="H3" s="268"/>
      <c r="I3" s="268"/>
    </row>
    <row r="4" spans="1:13" ht="18.75" x14ac:dyDescent="0.25">
      <c r="A4" s="263" t="s">
        <v>431</v>
      </c>
      <c r="B4" s="263"/>
      <c r="C4" s="263"/>
      <c r="D4" s="263"/>
      <c r="E4" s="263"/>
      <c r="F4" s="263"/>
      <c r="G4" s="263"/>
      <c r="H4" s="263"/>
      <c r="I4" s="263"/>
    </row>
    <row r="5" spans="1:13" ht="15.75" thickBot="1" x14ac:dyDescent="0.3">
      <c r="I5" s="15" t="s">
        <v>93</v>
      </c>
    </row>
    <row r="6" spans="1:13" ht="19.5" customHeight="1" thickBot="1" x14ac:dyDescent="0.3">
      <c r="A6" s="300" t="s">
        <v>40</v>
      </c>
      <c r="B6" s="273" t="s">
        <v>41</v>
      </c>
      <c r="C6" s="273" t="s">
        <v>42</v>
      </c>
      <c r="D6" s="304" t="s">
        <v>43</v>
      </c>
      <c r="E6" s="305"/>
      <c r="F6" s="305"/>
      <c r="G6" s="305"/>
      <c r="H6" s="305"/>
      <c r="I6" s="306"/>
    </row>
    <row r="7" spans="1:13" ht="19.5" thickBot="1" x14ac:dyDescent="0.3">
      <c r="A7" s="301"/>
      <c r="B7" s="303"/>
      <c r="C7" s="303"/>
      <c r="D7" s="273" t="s">
        <v>44</v>
      </c>
      <c r="E7" s="304" t="s">
        <v>22</v>
      </c>
      <c r="F7" s="305"/>
      <c r="G7" s="305"/>
      <c r="H7" s="305"/>
      <c r="I7" s="306"/>
    </row>
    <row r="8" spans="1:13" ht="100.5" customHeight="1" thickBot="1" x14ac:dyDescent="0.3">
      <c r="A8" s="301"/>
      <c r="B8" s="303"/>
      <c r="C8" s="303"/>
      <c r="D8" s="303"/>
      <c r="E8" s="307" t="s">
        <v>45</v>
      </c>
      <c r="F8" s="309" t="s">
        <v>46</v>
      </c>
      <c r="G8" s="307" t="s">
        <v>47</v>
      </c>
      <c r="H8" s="304" t="s">
        <v>48</v>
      </c>
      <c r="I8" s="306"/>
    </row>
    <row r="9" spans="1:13" ht="45" customHeight="1" thickBot="1" x14ac:dyDescent="0.3">
      <c r="A9" s="302"/>
      <c r="B9" s="274"/>
      <c r="C9" s="274"/>
      <c r="D9" s="274"/>
      <c r="E9" s="308"/>
      <c r="F9" s="310"/>
      <c r="G9" s="308"/>
      <c r="H9" s="96" t="s">
        <v>44</v>
      </c>
      <c r="I9" s="3" t="s">
        <v>49</v>
      </c>
    </row>
    <row r="10" spans="1:13" ht="19.5" thickBot="1" x14ac:dyDescent="0.3">
      <c r="A10" s="2">
        <v>1</v>
      </c>
      <c r="B10" s="3">
        <v>2</v>
      </c>
      <c r="C10" s="3">
        <v>3</v>
      </c>
      <c r="D10" s="3">
        <v>4</v>
      </c>
      <c r="E10" s="96">
        <v>5</v>
      </c>
      <c r="F10" s="96">
        <v>6</v>
      </c>
      <c r="G10" s="96">
        <v>7</v>
      </c>
      <c r="H10" s="96">
        <v>8</v>
      </c>
      <c r="I10" s="3">
        <v>9</v>
      </c>
    </row>
    <row r="11" spans="1:13" s="143" customFormat="1" ht="48.75" customHeight="1" thickBot="1" x14ac:dyDescent="0.3">
      <c r="A11" s="59" t="s">
        <v>50</v>
      </c>
      <c r="B11" s="60" t="s">
        <v>252</v>
      </c>
      <c r="C11" s="61" t="s">
        <v>51</v>
      </c>
      <c r="D11" s="62">
        <f>E11+F11+G11+H11</f>
        <v>35870.199999999997</v>
      </c>
      <c r="E11" s="62">
        <v>0</v>
      </c>
      <c r="F11" s="62">
        <v>0</v>
      </c>
      <c r="G11" s="62">
        <v>0</v>
      </c>
      <c r="H11" s="62">
        <v>35870.199999999997</v>
      </c>
      <c r="I11" s="62">
        <v>0</v>
      </c>
      <c r="J11" s="146"/>
      <c r="K11" s="146"/>
      <c r="L11" s="146"/>
      <c r="M11" s="143" t="s">
        <v>258</v>
      </c>
    </row>
    <row r="12" spans="1:13" s="143" customFormat="1" ht="47.25" customHeight="1" thickBot="1" x14ac:dyDescent="0.3">
      <c r="A12" s="59" t="s">
        <v>52</v>
      </c>
      <c r="B12" s="60" t="s">
        <v>253</v>
      </c>
      <c r="C12" s="61" t="s">
        <v>51</v>
      </c>
      <c r="D12" s="62">
        <f>D13+D17+D20+D25+D26</f>
        <v>73114598.799999997</v>
      </c>
      <c r="E12" s="62">
        <f>E17</f>
        <v>61762526</v>
      </c>
      <c r="F12" s="62">
        <f>F25</f>
        <v>3712544.24</v>
      </c>
      <c r="G12" s="62">
        <f>G25</f>
        <v>0</v>
      </c>
      <c r="H12" s="62">
        <f>H13+H17+H20+H24+H26</f>
        <v>7639528.5599999996</v>
      </c>
      <c r="I12" s="62">
        <v>0</v>
      </c>
      <c r="J12" s="146"/>
      <c r="K12" s="146"/>
      <c r="L12" s="146"/>
      <c r="M12" s="144"/>
    </row>
    <row r="13" spans="1:13" s="47" customFormat="1" ht="18.75" customHeight="1" x14ac:dyDescent="0.25">
      <c r="A13" s="285" t="s">
        <v>259</v>
      </c>
      <c r="B13" s="294" t="s">
        <v>254</v>
      </c>
      <c r="C13" s="298">
        <v>120</v>
      </c>
      <c r="D13" s="292">
        <f>D15</f>
        <v>0</v>
      </c>
      <c r="E13" s="290" t="s">
        <v>51</v>
      </c>
      <c r="F13" s="290" t="s">
        <v>51</v>
      </c>
      <c r="G13" s="290" t="s">
        <v>51</v>
      </c>
      <c r="H13" s="290">
        <f>H15</f>
        <v>0</v>
      </c>
      <c r="I13" s="292" t="s">
        <v>51</v>
      </c>
      <c r="J13" s="147"/>
      <c r="K13" s="147"/>
      <c r="L13" s="147"/>
      <c r="M13" s="275" t="s">
        <v>260</v>
      </c>
    </row>
    <row r="14" spans="1:13" s="47" customFormat="1" ht="30.75" customHeight="1" thickBot="1" x14ac:dyDescent="0.3">
      <c r="A14" s="286"/>
      <c r="B14" s="295"/>
      <c r="C14" s="299"/>
      <c r="D14" s="293"/>
      <c r="E14" s="291"/>
      <c r="F14" s="291"/>
      <c r="G14" s="291"/>
      <c r="H14" s="291"/>
      <c r="I14" s="293"/>
      <c r="J14" s="147"/>
      <c r="K14" s="147"/>
      <c r="L14" s="147"/>
      <c r="M14" s="275"/>
    </row>
    <row r="15" spans="1:13" ht="18.75" customHeight="1" x14ac:dyDescent="0.25">
      <c r="A15" s="16" t="s">
        <v>4</v>
      </c>
      <c r="B15" s="296" t="s">
        <v>255</v>
      </c>
      <c r="C15" s="273">
        <v>120</v>
      </c>
      <c r="D15" s="271">
        <f>H15</f>
        <v>0</v>
      </c>
      <c r="E15" s="282" t="s">
        <v>51</v>
      </c>
      <c r="F15" s="282" t="s">
        <v>51</v>
      </c>
      <c r="G15" s="282" t="s">
        <v>51</v>
      </c>
      <c r="H15" s="282">
        <v>0</v>
      </c>
      <c r="I15" s="271" t="s">
        <v>51</v>
      </c>
      <c r="M15" s="275"/>
    </row>
    <row r="16" spans="1:13" ht="145.5" customHeight="1" thickBot="1" x14ac:dyDescent="0.3">
      <c r="A16" s="17" t="s">
        <v>53</v>
      </c>
      <c r="B16" s="297"/>
      <c r="C16" s="274"/>
      <c r="D16" s="272"/>
      <c r="E16" s="283"/>
      <c r="F16" s="283"/>
      <c r="G16" s="283"/>
      <c r="H16" s="283"/>
      <c r="I16" s="272"/>
      <c r="M16" s="275"/>
    </row>
    <row r="17" spans="1:14" s="52" customFormat="1" ht="89.25" customHeight="1" thickBot="1" x14ac:dyDescent="0.3">
      <c r="A17" s="48" t="s">
        <v>54</v>
      </c>
      <c r="B17" s="49" t="s">
        <v>256</v>
      </c>
      <c r="C17" s="50">
        <v>130</v>
      </c>
      <c r="D17" s="51">
        <f>D18</f>
        <v>61762526</v>
      </c>
      <c r="E17" s="139">
        <f>E18</f>
        <v>61762526</v>
      </c>
      <c r="F17" s="139" t="s">
        <v>51</v>
      </c>
      <c r="G17" s="139" t="s">
        <v>51</v>
      </c>
      <c r="H17" s="139">
        <f>H18</f>
        <v>0</v>
      </c>
      <c r="I17" s="51">
        <f>I18</f>
        <v>0</v>
      </c>
      <c r="J17" s="147"/>
      <c r="K17" s="147"/>
      <c r="L17" s="147"/>
      <c r="M17" s="52" t="s">
        <v>261</v>
      </c>
      <c r="N17" s="53">
        <f>E17-E27</f>
        <v>1754257.1862043962</v>
      </c>
    </row>
    <row r="18" spans="1:14" ht="18.75" x14ac:dyDescent="0.25">
      <c r="A18" s="16" t="s">
        <v>55</v>
      </c>
      <c r="B18" s="296" t="s">
        <v>257</v>
      </c>
      <c r="C18" s="273">
        <v>130</v>
      </c>
      <c r="D18" s="271">
        <f>E18+H18</f>
        <v>61762526</v>
      </c>
      <c r="E18" s="282">
        <v>61762526</v>
      </c>
      <c r="F18" s="282" t="s">
        <v>51</v>
      </c>
      <c r="G18" s="282" t="s">
        <v>51</v>
      </c>
      <c r="H18" s="282">
        <v>0</v>
      </c>
      <c r="I18" s="271">
        <v>0</v>
      </c>
    </row>
    <row r="19" spans="1:14" ht="75.75" thickBot="1" x14ac:dyDescent="0.3">
      <c r="A19" s="17" t="s">
        <v>56</v>
      </c>
      <c r="B19" s="297"/>
      <c r="C19" s="274"/>
      <c r="D19" s="272"/>
      <c r="E19" s="283"/>
      <c r="F19" s="283"/>
      <c r="G19" s="283"/>
      <c r="H19" s="283"/>
      <c r="I19" s="272"/>
    </row>
    <row r="20" spans="1:14" s="52" customFormat="1" ht="57" thickBot="1" x14ac:dyDescent="0.3">
      <c r="A20" s="48" t="s">
        <v>57</v>
      </c>
      <c r="B20" s="49" t="s">
        <v>262</v>
      </c>
      <c r="C20" s="50">
        <v>130</v>
      </c>
      <c r="D20" s="51">
        <f>D21+D23+D24</f>
        <v>7639528.5599999996</v>
      </c>
      <c r="E20" s="139" t="s">
        <v>51</v>
      </c>
      <c r="F20" s="139" t="s">
        <v>51</v>
      </c>
      <c r="G20" s="139" t="s">
        <v>51</v>
      </c>
      <c r="H20" s="139">
        <f>H23</f>
        <v>7639528.5599999996</v>
      </c>
      <c r="I20" s="51">
        <v>0</v>
      </c>
      <c r="J20" s="147"/>
      <c r="K20" s="147"/>
      <c r="L20" s="147"/>
    </row>
    <row r="21" spans="1:14" ht="18.75" x14ac:dyDescent="0.25">
      <c r="A21" s="16" t="s">
        <v>22</v>
      </c>
      <c r="B21" s="296" t="s">
        <v>263</v>
      </c>
      <c r="C21" s="273">
        <v>130</v>
      </c>
      <c r="D21" s="271">
        <f>H21</f>
        <v>0</v>
      </c>
      <c r="E21" s="282" t="s">
        <v>51</v>
      </c>
      <c r="F21" s="282" t="s">
        <v>51</v>
      </c>
      <c r="G21" s="282" t="s">
        <v>51</v>
      </c>
      <c r="H21" s="282">
        <v>0</v>
      </c>
      <c r="I21" s="276">
        <v>0</v>
      </c>
    </row>
    <row r="22" spans="1:14" ht="38.25" thickBot="1" x14ac:dyDescent="0.3">
      <c r="A22" s="17" t="s">
        <v>58</v>
      </c>
      <c r="B22" s="297"/>
      <c r="C22" s="274"/>
      <c r="D22" s="272"/>
      <c r="E22" s="283"/>
      <c r="F22" s="283"/>
      <c r="G22" s="283"/>
      <c r="H22" s="283"/>
      <c r="I22" s="277"/>
    </row>
    <row r="23" spans="1:14" ht="28.5" customHeight="1" thickBot="1" x14ac:dyDescent="0.3">
      <c r="A23" s="17" t="s">
        <v>59</v>
      </c>
      <c r="B23" s="45" t="s">
        <v>264</v>
      </c>
      <c r="C23" s="3">
        <v>130</v>
      </c>
      <c r="D23" s="20">
        <f>H23</f>
        <v>7639528.5599999996</v>
      </c>
      <c r="E23" s="97" t="s">
        <v>51</v>
      </c>
      <c r="F23" s="97" t="s">
        <v>51</v>
      </c>
      <c r="G23" s="97" t="s">
        <v>51</v>
      </c>
      <c r="H23" s="97">
        <v>7639528.5599999996</v>
      </c>
      <c r="I23" s="20">
        <v>0</v>
      </c>
    </row>
    <row r="24" spans="1:14" ht="57" thickBot="1" x14ac:dyDescent="0.3">
      <c r="A24" s="17" t="s">
        <v>60</v>
      </c>
      <c r="B24" s="45" t="s">
        <v>265</v>
      </c>
      <c r="C24" s="3">
        <v>140</v>
      </c>
      <c r="D24" s="20">
        <f>H24</f>
        <v>0</v>
      </c>
      <c r="E24" s="97" t="s">
        <v>51</v>
      </c>
      <c r="F24" s="97" t="s">
        <v>51</v>
      </c>
      <c r="G24" s="97" t="s">
        <v>51</v>
      </c>
      <c r="H24" s="97">
        <v>0</v>
      </c>
      <c r="I24" s="20" t="s">
        <v>51</v>
      </c>
    </row>
    <row r="25" spans="1:14" s="52" customFormat="1" ht="57" thickBot="1" x14ac:dyDescent="0.3">
      <c r="A25" s="48" t="s">
        <v>61</v>
      </c>
      <c r="B25" s="49" t="s">
        <v>266</v>
      </c>
      <c r="C25" s="50">
        <v>180</v>
      </c>
      <c r="D25" s="51">
        <f>F25+G25</f>
        <v>3712544.24</v>
      </c>
      <c r="E25" s="139" t="s">
        <v>51</v>
      </c>
      <c r="F25" s="139">
        <v>3712544.24</v>
      </c>
      <c r="G25" s="139">
        <v>0</v>
      </c>
      <c r="H25" s="139" t="s">
        <v>51</v>
      </c>
      <c r="I25" s="51" t="s">
        <v>51</v>
      </c>
      <c r="J25" s="147"/>
      <c r="K25" s="147"/>
      <c r="L25" s="147"/>
    </row>
    <row r="26" spans="1:14" s="52" customFormat="1" ht="43.5" customHeight="1" thickBot="1" x14ac:dyDescent="0.3">
      <c r="A26" s="54" t="s">
        <v>62</v>
      </c>
      <c r="B26" s="49" t="s">
        <v>268</v>
      </c>
      <c r="C26" s="50">
        <v>180</v>
      </c>
      <c r="D26" s="51">
        <f>H26</f>
        <v>0</v>
      </c>
      <c r="E26" s="139" t="s">
        <v>51</v>
      </c>
      <c r="F26" s="139" t="s">
        <v>51</v>
      </c>
      <c r="G26" s="139" t="s">
        <v>51</v>
      </c>
      <c r="H26" s="139">
        <v>0</v>
      </c>
      <c r="I26" s="51">
        <v>0</v>
      </c>
      <c r="J26" s="147"/>
      <c r="K26" s="147"/>
      <c r="L26" s="147"/>
    </row>
    <row r="27" spans="1:14" s="145" customFormat="1" ht="53.25" customHeight="1" thickBot="1" x14ac:dyDescent="0.3">
      <c r="A27" s="55" t="s">
        <v>63</v>
      </c>
      <c r="B27" s="56" t="s">
        <v>269</v>
      </c>
      <c r="C27" s="57" t="s">
        <v>51</v>
      </c>
      <c r="D27" s="58">
        <f>D28+D34+D37+D43+D47</f>
        <v>71359614.723795593</v>
      </c>
      <c r="E27" s="58">
        <f>E28+E34+E37+E43+E47</f>
        <v>60008268.813795604</v>
      </c>
      <c r="F27" s="58">
        <f>F28+F34+F37+F43+F47</f>
        <v>3712544.24</v>
      </c>
      <c r="G27" s="58">
        <f>G28+G34+G37+G43+G47</f>
        <v>0</v>
      </c>
      <c r="H27" s="58">
        <f>H28+H34+H37+H43+H47</f>
        <v>7638801.6699999999</v>
      </c>
      <c r="I27" s="58"/>
      <c r="J27" s="148"/>
      <c r="K27" s="148"/>
      <c r="L27" s="148"/>
      <c r="M27" s="145" t="s">
        <v>267</v>
      </c>
    </row>
    <row r="28" spans="1:14" s="76" customFormat="1" ht="18.75" x14ac:dyDescent="0.25">
      <c r="A28" s="78" t="s">
        <v>22</v>
      </c>
      <c r="B28" s="294" t="s">
        <v>270</v>
      </c>
      <c r="C28" s="298">
        <v>100</v>
      </c>
      <c r="D28" s="292">
        <f>D30+D32+D33</f>
        <v>51391514.933795601</v>
      </c>
      <c r="E28" s="290">
        <f>E30+E32+E33</f>
        <v>49889624.443795606</v>
      </c>
      <c r="F28" s="290">
        <f>F30+F32+F33</f>
        <v>1501890.49</v>
      </c>
      <c r="G28" s="290">
        <f>G30+G32+G33</f>
        <v>0</v>
      </c>
      <c r="H28" s="290">
        <f>H30+H32+H33</f>
        <v>0</v>
      </c>
      <c r="I28" s="292"/>
      <c r="J28" s="99"/>
      <c r="K28" s="99"/>
      <c r="L28" s="99"/>
    </row>
    <row r="29" spans="1:14" s="76" customFormat="1" ht="38.25" thickBot="1" x14ac:dyDescent="0.3">
      <c r="A29" s="75" t="s">
        <v>64</v>
      </c>
      <c r="B29" s="295"/>
      <c r="C29" s="299"/>
      <c r="D29" s="293"/>
      <c r="E29" s="291"/>
      <c r="F29" s="291"/>
      <c r="G29" s="291"/>
      <c r="H29" s="291"/>
      <c r="I29" s="293"/>
      <c r="J29" s="99"/>
      <c r="K29" s="99"/>
      <c r="L29" s="99"/>
      <c r="M29" s="79"/>
    </row>
    <row r="30" spans="1:14" s="76" customFormat="1" ht="18.75" x14ac:dyDescent="0.25">
      <c r="A30" s="80" t="s">
        <v>4</v>
      </c>
      <c r="B30" s="288" t="s">
        <v>271</v>
      </c>
      <c r="C30" s="289">
        <v>111</v>
      </c>
      <c r="D30" s="276">
        <f>E30+F30+G30+H30</f>
        <v>39256063.983795606</v>
      </c>
      <c r="E30" s="276">
        <f>'Раздел II обоснование 2018'!J28</f>
        <v>39256063.983795606</v>
      </c>
      <c r="F30" s="282">
        <v>0</v>
      </c>
      <c r="G30" s="282">
        <v>0</v>
      </c>
      <c r="H30" s="282">
        <v>0</v>
      </c>
      <c r="I30" s="276"/>
      <c r="J30" s="99"/>
      <c r="K30" s="99"/>
      <c r="L30" s="99"/>
    </row>
    <row r="31" spans="1:14" s="76" customFormat="1" ht="19.5" thickBot="1" x14ac:dyDescent="0.3">
      <c r="A31" s="81" t="s">
        <v>65</v>
      </c>
      <c r="B31" s="279"/>
      <c r="C31" s="281"/>
      <c r="D31" s="277"/>
      <c r="E31" s="277"/>
      <c r="F31" s="283"/>
      <c r="G31" s="283"/>
      <c r="H31" s="283"/>
      <c r="I31" s="277"/>
      <c r="J31" s="99"/>
      <c r="K31" s="99"/>
      <c r="L31" s="99"/>
    </row>
    <row r="32" spans="1:14" s="76" customFormat="1" ht="68.25" customHeight="1" thickBot="1" x14ac:dyDescent="0.3">
      <c r="A32" s="69" t="s">
        <v>66</v>
      </c>
      <c r="B32" s="82" t="s">
        <v>272</v>
      </c>
      <c r="C32" s="70">
        <v>112</v>
      </c>
      <c r="D32" s="71">
        <f>E32+F32+G32+H32</f>
        <v>1571873.62</v>
      </c>
      <c r="E32" s="71">
        <f>'Раздел II обоснование 2018'!F43+'Раздел II обоснование 2018'!E64</f>
        <v>69983.13</v>
      </c>
      <c r="F32" s="97">
        <v>1501890.49</v>
      </c>
      <c r="G32" s="97">
        <v>0</v>
      </c>
      <c r="H32" s="97">
        <v>0</v>
      </c>
      <c r="I32" s="71"/>
      <c r="J32" s="99"/>
      <c r="K32" s="99"/>
      <c r="L32" s="99"/>
    </row>
    <row r="33" spans="1:14" s="76" customFormat="1" ht="117" customHeight="1" thickBot="1" x14ac:dyDescent="0.3">
      <c r="A33" s="69" t="s">
        <v>67</v>
      </c>
      <c r="B33" s="82" t="s">
        <v>273</v>
      </c>
      <c r="C33" s="70">
        <v>119</v>
      </c>
      <c r="D33" s="71">
        <f>E33+F33+G33+H33</f>
        <v>10563577.33</v>
      </c>
      <c r="E33" s="71">
        <f>'Раздел II обоснование 2018'!D55+'Раздел II обоснование 2018'!E65</f>
        <v>10563577.33</v>
      </c>
      <c r="F33" s="97">
        <v>0</v>
      </c>
      <c r="G33" s="97">
        <v>0</v>
      </c>
      <c r="H33" s="97">
        <v>0</v>
      </c>
      <c r="I33" s="71"/>
      <c r="J33" s="99"/>
      <c r="K33" s="99"/>
      <c r="L33" s="99"/>
    </row>
    <row r="34" spans="1:14" s="76" customFormat="1" ht="47.25" customHeight="1" thickBot="1" x14ac:dyDescent="0.3">
      <c r="A34" s="83" t="s">
        <v>68</v>
      </c>
      <c r="B34" s="84" t="s">
        <v>274</v>
      </c>
      <c r="C34" s="85">
        <v>300</v>
      </c>
      <c r="D34" s="86">
        <f>D35</f>
        <v>0</v>
      </c>
      <c r="E34" s="86">
        <f>E35</f>
        <v>0</v>
      </c>
      <c r="F34" s="139">
        <f>F35</f>
        <v>0</v>
      </c>
      <c r="G34" s="139">
        <f>G35</f>
        <v>0</v>
      </c>
      <c r="H34" s="139">
        <f>H35</f>
        <v>0</v>
      </c>
      <c r="I34" s="86"/>
      <c r="J34" s="99"/>
      <c r="K34" s="99"/>
      <c r="L34" s="99"/>
    </row>
    <row r="35" spans="1:14" s="76" customFormat="1" ht="18.75" x14ac:dyDescent="0.25">
      <c r="A35" s="87" t="s">
        <v>4</v>
      </c>
      <c r="B35" s="288" t="s">
        <v>275</v>
      </c>
      <c r="C35" s="289">
        <v>321</v>
      </c>
      <c r="D35" s="276">
        <f>E35+F35+G35+H35</f>
        <v>0</v>
      </c>
      <c r="E35" s="276">
        <v>0</v>
      </c>
      <c r="F35" s="282">
        <v>0</v>
      </c>
      <c r="G35" s="282">
        <v>0</v>
      </c>
      <c r="H35" s="282">
        <v>0</v>
      </c>
      <c r="I35" s="276"/>
      <c r="J35" s="99"/>
      <c r="K35" s="99"/>
      <c r="L35" s="99"/>
    </row>
    <row r="36" spans="1:14" s="76" customFormat="1" ht="75.75" thickBot="1" x14ac:dyDescent="0.3">
      <c r="A36" s="69" t="s">
        <v>69</v>
      </c>
      <c r="B36" s="279"/>
      <c r="C36" s="281"/>
      <c r="D36" s="277"/>
      <c r="E36" s="277"/>
      <c r="F36" s="283"/>
      <c r="G36" s="283"/>
      <c r="H36" s="283"/>
      <c r="I36" s="277"/>
      <c r="J36" s="99"/>
      <c r="K36" s="99"/>
      <c r="L36" s="99"/>
    </row>
    <row r="37" spans="1:14" s="76" customFormat="1" ht="53.25" customHeight="1" thickBot="1" x14ac:dyDescent="0.3">
      <c r="A37" s="83" t="s">
        <v>70</v>
      </c>
      <c r="B37" s="84" t="s">
        <v>276</v>
      </c>
      <c r="C37" s="85">
        <v>850</v>
      </c>
      <c r="D37" s="86">
        <f>D38+D40+D41+D42</f>
        <v>1370616</v>
      </c>
      <c r="E37" s="86">
        <f>E38+E40+E41+E42</f>
        <v>1370616</v>
      </c>
      <c r="F37" s="139">
        <f>F38+F40+F41+F42</f>
        <v>0</v>
      </c>
      <c r="G37" s="139">
        <f>G40</f>
        <v>0</v>
      </c>
      <c r="H37" s="139">
        <f>H38+H40+H41+H42</f>
        <v>0</v>
      </c>
      <c r="I37" s="86"/>
      <c r="J37" s="99"/>
      <c r="K37" s="99"/>
      <c r="L37" s="99"/>
    </row>
    <row r="38" spans="1:14" s="76" customFormat="1" ht="18.75" x14ac:dyDescent="0.25">
      <c r="A38" s="87" t="s">
        <v>4</v>
      </c>
      <c r="B38" s="288" t="s">
        <v>277</v>
      </c>
      <c r="C38" s="289">
        <v>851</v>
      </c>
      <c r="D38" s="276">
        <f>E38+F38+H38</f>
        <v>761860</v>
      </c>
      <c r="E38" s="276">
        <f>'Раздел II обоснование 2018'!E77</f>
        <v>761860</v>
      </c>
      <c r="F38" s="282">
        <v>0</v>
      </c>
      <c r="G38" s="282" t="s">
        <v>51</v>
      </c>
      <c r="H38" s="282">
        <v>0</v>
      </c>
      <c r="I38" s="276"/>
      <c r="J38" s="99"/>
      <c r="K38" s="99"/>
      <c r="L38" s="99"/>
    </row>
    <row r="39" spans="1:14" s="76" customFormat="1" ht="19.5" thickBot="1" x14ac:dyDescent="0.3">
      <c r="A39" s="69" t="s">
        <v>91</v>
      </c>
      <c r="B39" s="279"/>
      <c r="C39" s="281"/>
      <c r="D39" s="277"/>
      <c r="E39" s="277"/>
      <c r="F39" s="283"/>
      <c r="G39" s="283"/>
      <c r="H39" s="283"/>
      <c r="I39" s="277"/>
      <c r="J39" s="99"/>
      <c r="K39" s="99"/>
      <c r="L39" s="99"/>
    </row>
    <row r="40" spans="1:14" s="76" customFormat="1" ht="34.5" customHeight="1" thickBot="1" x14ac:dyDescent="0.3">
      <c r="A40" s="88" t="s">
        <v>71</v>
      </c>
      <c r="B40" s="82" t="s">
        <v>278</v>
      </c>
      <c r="C40" s="70">
        <v>851</v>
      </c>
      <c r="D40" s="71">
        <f>E40+F40+G40+H40</f>
        <v>508756</v>
      </c>
      <c r="E40" s="71">
        <f>'Раздел II обоснование 2018'!E78</f>
        <v>508756</v>
      </c>
      <c r="F40" s="97">
        <v>0</v>
      </c>
      <c r="G40" s="97">
        <v>0</v>
      </c>
      <c r="H40" s="97">
        <v>0</v>
      </c>
      <c r="I40" s="71"/>
      <c r="J40" s="99"/>
      <c r="K40" s="99"/>
      <c r="L40" s="99"/>
    </row>
    <row r="41" spans="1:14" s="76" customFormat="1" ht="60" customHeight="1" thickBot="1" x14ac:dyDescent="0.3">
      <c r="A41" s="69" t="s">
        <v>72</v>
      </c>
      <c r="B41" s="82" t="s">
        <v>279</v>
      </c>
      <c r="C41" s="70">
        <v>852</v>
      </c>
      <c r="D41" s="71">
        <f>E41+F41+H41</f>
        <v>0</v>
      </c>
      <c r="E41" s="71">
        <v>0</v>
      </c>
      <c r="F41" s="97">
        <v>0</v>
      </c>
      <c r="G41" s="97" t="s">
        <v>51</v>
      </c>
      <c r="H41" s="97">
        <v>0</v>
      </c>
      <c r="I41" s="71"/>
      <c r="J41" s="99"/>
      <c r="K41" s="99"/>
      <c r="L41" s="99"/>
    </row>
    <row r="42" spans="1:14" s="76" customFormat="1" ht="51.75" customHeight="1" thickBot="1" x14ac:dyDescent="0.3">
      <c r="A42" s="69" t="s">
        <v>73</v>
      </c>
      <c r="B42" s="82" t="s">
        <v>280</v>
      </c>
      <c r="C42" s="70">
        <v>853</v>
      </c>
      <c r="D42" s="71">
        <f>E42+F42+H42</f>
        <v>100000</v>
      </c>
      <c r="E42" s="71">
        <f>'Раздел II обоснование 2018'!E79</f>
        <v>100000</v>
      </c>
      <c r="F42" s="97">
        <v>0</v>
      </c>
      <c r="G42" s="97" t="s">
        <v>51</v>
      </c>
      <c r="H42" s="97">
        <f>'Раздел II обоснование ПДД 2018'!E76</f>
        <v>0</v>
      </c>
      <c r="I42" s="71"/>
      <c r="J42" s="99"/>
      <c r="K42" s="99"/>
      <c r="L42" s="99"/>
    </row>
    <row r="43" spans="1:14" s="47" customFormat="1" ht="57" thickBot="1" x14ac:dyDescent="0.3">
      <c r="A43" s="83" t="s">
        <v>74</v>
      </c>
      <c r="B43" s="84" t="s">
        <v>281</v>
      </c>
      <c r="C43" s="85">
        <v>400</v>
      </c>
      <c r="D43" s="86">
        <f>D44+D46</f>
        <v>0</v>
      </c>
      <c r="E43" s="86">
        <f>E44+E46</f>
        <v>0</v>
      </c>
      <c r="F43" s="139">
        <f>F44+F46</f>
        <v>0</v>
      </c>
      <c r="G43" s="139">
        <f>G44+G46</f>
        <v>0</v>
      </c>
      <c r="H43" s="139">
        <f>H44+H46</f>
        <v>0</v>
      </c>
      <c r="I43" s="86"/>
      <c r="J43" s="147"/>
      <c r="K43" s="147"/>
      <c r="L43" s="147"/>
    </row>
    <row r="44" spans="1:14" s="76" customFormat="1" ht="18.75" x14ac:dyDescent="0.25">
      <c r="A44" s="80" t="s">
        <v>4</v>
      </c>
      <c r="B44" s="288" t="s">
        <v>282</v>
      </c>
      <c r="C44" s="289">
        <v>416</v>
      </c>
      <c r="D44" s="276">
        <f>E44+F44+G44+H44</f>
        <v>0</v>
      </c>
      <c r="E44" s="276">
        <v>0</v>
      </c>
      <c r="F44" s="282">
        <v>0</v>
      </c>
      <c r="G44" s="282">
        <v>0</v>
      </c>
      <c r="H44" s="282">
        <v>0</v>
      </c>
      <c r="I44" s="276"/>
      <c r="J44" s="99"/>
      <c r="K44" s="99"/>
      <c r="L44" s="99"/>
    </row>
    <row r="45" spans="1:14" s="76" customFormat="1" ht="97.5" customHeight="1" thickBot="1" x14ac:dyDescent="0.3">
      <c r="A45" s="88" t="s">
        <v>75</v>
      </c>
      <c r="B45" s="279"/>
      <c r="C45" s="281"/>
      <c r="D45" s="277"/>
      <c r="E45" s="277"/>
      <c r="F45" s="283"/>
      <c r="G45" s="283"/>
      <c r="H45" s="283"/>
      <c r="I45" s="277"/>
      <c r="J45" s="99"/>
      <c r="K45" s="99"/>
      <c r="L45" s="99"/>
    </row>
    <row r="46" spans="1:14" s="76" customFormat="1" ht="93.75" x14ac:dyDescent="0.25">
      <c r="A46" s="165" t="s">
        <v>76</v>
      </c>
      <c r="B46" s="166" t="s">
        <v>283</v>
      </c>
      <c r="C46" s="167">
        <v>417</v>
      </c>
      <c r="D46" s="168">
        <f>E46+F46+G46+H46</f>
        <v>0</v>
      </c>
      <c r="E46" s="168">
        <v>0</v>
      </c>
      <c r="F46" s="169">
        <v>0</v>
      </c>
      <c r="G46" s="169">
        <v>0</v>
      </c>
      <c r="H46" s="169">
        <v>0</v>
      </c>
      <c r="I46" s="168"/>
      <c r="J46" s="99"/>
      <c r="K46" s="99"/>
      <c r="L46" s="99"/>
    </row>
    <row r="47" spans="1:14" s="47" customFormat="1" ht="58.5" customHeight="1" x14ac:dyDescent="0.25">
      <c r="A47" s="160" t="s">
        <v>77</v>
      </c>
      <c r="B47" s="161" t="s">
        <v>284</v>
      </c>
      <c r="C47" s="162">
        <v>200</v>
      </c>
      <c r="D47" s="163">
        <f>D48+D50</f>
        <v>18597483.789999999</v>
      </c>
      <c r="E47" s="163">
        <f>E48+E50</f>
        <v>8748028.3699999992</v>
      </c>
      <c r="F47" s="164">
        <f>F48+F50</f>
        <v>2210653.75</v>
      </c>
      <c r="G47" s="164">
        <f>G48+G50</f>
        <v>0</v>
      </c>
      <c r="H47" s="164">
        <f>H48+H50</f>
        <v>7638801.6699999999</v>
      </c>
      <c r="I47" s="163"/>
      <c r="J47" s="147"/>
      <c r="K47" s="147"/>
      <c r="L47" s="147"/>
      <c r="M47" s="47" t="s">
        <v>299</v>
      </c>
      <c r="N47" s="89"/>
    </row>
    <row r="48" spans="1:14" s="76" customFormat="1" ht="18.75" x14ac:dyDescent="0.25">
      <c r="A48" s="159" t="s">
        <v>4</v>
      </c>
      <c r="B48" s="278" t="s">
        <v>285</v>
      </c>
      <c r="C48" s="280">
        <v>243</v>
      </c>
      <c r="D48" s="284">
        <f>E48+F48+G48+H48</f>
        <v>0</v>
      </c>
      <c r="E48" s="284">
        <v>0</v>
      </c>
      <c r="F48" s="284">
        <v>0</v>
      </c>
      <c r="G48" s="287">
        <v>0</v>
      </c>
      <c r="H48" s="287">
        <v>0</v>
      </c>
      <c r="I48" s="284"/>
      <c r="J48" s="99"/>
      <c r="K48" s="99"/>
      <c r="L48" s="99"/>
      <c r="N48" s="79"/>
    </row>
    <row r="49" spans="1:12" s="76" customFormat="1" ht="57" thickBot="1" x14ac:dyDescent="0.3">
      <c r="A49" s="81" t="s">
        <v>78</v>
      </c>
      <c r="B49" s="279"/>
      <c r="C49" s="281"/>
      <c r="D49" s="277"/>
      <c r="E49" s="277"/>
      <c r="F49" s="277"/>
      <c r="G49" s="283"/>
      <c r="H49" s="283"/>
      <c r="I49" s="277"/>
      <c r="J49" s="99"/>
      <c r="K49" s="99"/>
      <c r="L49" s="99"/>
    </row>
    <row r="50" spans="1:12" s="76" customFormat="1" ht="57" thickBot="1" x14ac:dyDescent="0.3">
      <c r="A50" s="81" t="s">
        <v>79</v>
      </c>
      <c r="B50" s="82" t="s">
        <v>286</v>
      </c>
      <c r="C50" s="70">
        <v>244</v>
      </c>
      <c r="D50" s="71">
        <f>D51+D53+D54+D55+D56+D57+D58+D59</f>
        <v>18597483.789999999</v>
      </c>
      <c r="E50" s="71">
        <f>E51+E53+E54+E55+E56+E57+E58+E59</f>
        <v>8748028.3699999992</v>
      </c>
      <c r="F50" s="71">
        <f>F51+F53+F54+F55+F56+F57+F58+F59</f>
        <v>2210653.75</v>
      </c>
      <c r="G50" s="97">
        <f>G53+G54+G56+G57+G58+G59</f>
        <v>0</v>
      </c>
      <c r="H50" s="97">
        <f>H51+H53+H54+H55+H56+H57+H58+H59</f>
        <v>7638801.6699999999</v>
      </c>
      <c r="I50" s="71"/>
      <c r="J50" s="99"/>
      <c r="K50" s="99"/>
      <c r="L50" s="99"/>
    </row>
    <row r="51" spans="1:12" s="76" customFormat="1" ht="18.75" x14ac:dyDescent="0.25">
      <c r="A51" s="90" t="s">
        <v>4</v>
      </c>
      <c r="B51" s="288" t="s">
        <v>287</v>
      </c>
      <c r="C51" s="289">
        <v>244</v>
      </c>
      <c r="D51" s="276">
        <f>E51+F51+H51</f>
        <v>25002.190000000002</v>
      </c>
      <c r="E51" s="276">
        <f>'Раздел II обоснование 2018'!F92</f>
        <v>25002.190000000002</v>
      </c>
      <c r="F51" s="276">
        <v>0</v>
      </c>
      <c r="G51" s="282" t="s">
        <v>51</v>
      </c>
      <c r="H51" s="282">
        <v>0</v>
      </c>
      <c r="I51" s="276"/>
      <c r="J51" s="99"/>
      <c r="K51" s="99"/>
      <c r="L51" s="99"/>
    </row>
    <row r="52" spans="1:12" s="76" customFormat="1" ht="32.25" customHeight="1" thickBot="1" x14ac:dyDescent="0.3">
      <c r="A52" s="91" t="s">
        <v>80</v>
      </c>
      <c r="B52" s="279"/>
      <c r="C52" s="281"/>
      <c r="D52" s="277"/>
      <c r="E52" s="277"/>
      <c r="F52" s="277"/>
      <c r="G52" s="283"/>
      <c r="H52" s="283"/>
      <c r="I52" s="277"/>
      <c r="J52" s="99"/>
      <c r="K52" s="99"/>
      <c r="L52" s="99"/>
    </row>
    <row r="53" spans="1:12" s="76" customFormat="1" ht="33" customHeight="1" thickBot="1" x14ac:dyDescent="0.3">
      <c r="A53" s="91" t="s">
        <v>81</v>
      </c>
      <c r="B53" s="82" t="s">
        <v>288</v>
      </c>
      <c r="C53" s="70">
        <v>244</v>
      </c>
      <c r="D53" s="71">
        <f>E53+F53+G53+H53</f>
        <v>0</v>
      </c>
      <c r="E53" s="71">
        <f>'Раздел II обоснование 2018'!E99</f>
        <v>0</v>
      </c>
      <c r="F53" s="71">
        <v>0</v>
      </c>
      <c r="G53" s="97">
        <v>0</v>
      </c>
      <c r="H53" s="97">
        <v>0</v>
      </c>
      <c r="I53" s="71"/>
      <c r="J53" s="99"/>
      <c r="K53" s="99"/>
      <c r="L53" s="99"/>
    </row>
    <row r="54" spans="1:12" s="76" customFormat="1" ht="32.25" customHeight="1" thickBot="1" x14ac:dyDescent="0.3">
      <c r="A54" s="91" t="s">
        <v>82</v>
      </c>
      <c r="B54" s="82" t="s">
        <v>288</v>
      </c>
      <c r="C54" s="70">
        <v>244</v>
      </c>
      <c r="D54" s="71">
        <f>E54+F54+G54+H54</f>
        <v>4764811.58</v>
      </c>
      <c r="E54" s="71">
        <f>'Раздел II обоснование 2018'!G111</f>
        <v>4764811.58</v>
      </c>
      <c r="F54" s="71">
        <v>0</v>
      </c>
      <c r="G54" s="97">
        <v>0</v>
      </c>
      <c r="H54" s="97">
        <v>0</v>
      </c>
      <c r="I54" s="71"/>
      <c r="J54" s="99"/>
      <c r="K54" s="99"/>
      <c r="L54" s="99"/>
    </row>
    <row r="55" spans="1:12" s="76" customFormat="1" ht="51.75" customHeight="1" thickBot="1" x14ac:dyDescent="0.3">
      <c r="A55" s="91" t="s">
        <v>83</v>
      </c>
      <c r="B55" s="82" t="s">
        <v>289</v>
      </c>
      <c r="C55" s="70">
        <v>244</v>
      </c>
      <c r="D55" s="71">
        <f>E55+F55+H55</f>
        <v>0</v>
      </c>
      <c r="E55" s="71">
        <v>0</v>
      </c>
      <c r="F55" s="71">
        <v>0</v>
      </c>
      <c r="G55" s="97" t="s">
        <v>51</v>
      </c>
      <c r="H55" s="97">
        <v>0</v>
      </c>
      <c r="I55" s="71"/>
      <c r="J55" s="99"/>
      <c r="K55" s="99"/>
      <c r="L55" s="99"/>
    </row>
    <row r="56" spans="1:12" s="76" customFormat="1" ht="48" customHeight="1" thickBot="1" x14ac:dyDescent="0.3">
      <c r="A56" s="91" t="s">
        <v>84</v>
      </c>
      <c r="B56" s="82" t="s">
        <v>290</v>
      </c>
      <c r="C56" s="70">
        <v>244</v>
      </c>
      <c r="D56" s="71">
        <f t="shared" ref="D56:D62" si="0">E56+F56+G56+H56</f>
        <v>3075193.4699999997</v>
      </c>
      <c r="E56" s="71">
        <f>'Раздел II обоснование 2018'!E145</f>
        <v>1365807.22</v>
      </c>
      <c r="F56" s="71">
        <f>620966.24+300000+258354.64+16225+1140000-408163.27-347566.36-235657.66-63612.71-222443.28+844771-121487.35-72000</f>
        <v>1709386.25</v>
      </c>
      <c r="G56" s="97">
        <v>0</v>
      </c>
      <c r="H56" s="97">
        <v>0</v>
      </c>
      <c r="I56" s="71"/>
      <c r="J56" s="99"/>
      <c r="K56" s="99"/>
      <c r="L56" s="99"/>
    </row>
    <row r="57" spans="1:12" s="76" customFormat="1" ht="34.5" customHeight="1" thickBot="1" x14ac:dyDescent="0.3">
      <c r="A57" s="91" t="s">
        <v>85</v>
      </c>
      <c r="B57" s="82" t="s">
        <v>291</v>
      </c>
      <c r="C57" s="70">
        <v>244</v>
      </c>
      <c r="D57" s="71">
        <f t="shared" si="0"/>
        <v>825232.05999999994</v>
      </c>
      <c r="E57" s="71">
        <f>'Раздел II обоснование 2018'!D160</f>
        <v>825232.05999999994</v>
      </c>
      <c r="F57" s="71">
        <v>0</v>
      </c>
      <c r="G57" s="97">
        <v>0</v>
      </c>
      <c r="H57" s="97">
        <v>0</v>
      </c>
      <c r="I57" s="71"/>
      <c r="J57" s="99"/>
      <c r="K57" s="99"/>
      <c r="L57" s="99"/>
    </row>
    <row r="58" spans="1:12" s="76" customFormat="1" ht="51" customHeight="1" thickBot="1" x14ac:dyDescent="0.3">
      <c r="A58" s="91" t="s">
        <v>86</v>
      </c>
      <c r="B58" s="82" t="s">
        <v>292</v>
      </c>
      <c r="C58" s="70">
        <v>244</v>
      </c>
      <c r="D58" s="71">
        <f t="shared" si="0"/>
        <v>766436</v>
      </c>
      <c r="E58" s="71">
        <f>'Раздел II обоснование 2018'!E168</f>
        <v>311436</v>
      </c>
      <c r="F58" s="71">
        <f>501600-46600</f>
        <v>455000</v>
      </c>
      <c r="G58" s="97">
        <v>0</v>
      </c>
      <c r="H58" s="97">
        <v>0</v>
      </c>
      <c r="I58" s="71"/>
      <c r="J58" s="99"/>
      <c r="K58" s="99"/>
      <c r="L58" s="99"/>
    </row>
    <row r="59" spans="1:12" s="76" customFormat="1" ht="49.5" customHeight="1" thickBot="1" x14ac:dyDescent="0.3">
      <c r="A59" s="91" t="s">
        <v>87</v>
      </c>
      <c r="B59" s="82" t="s">
        <v>293</v>
      </c>
      <c r="C59" s="70">
        <v>244</v>
      </c>
      <c r="D59" s="71">
        <f t="shared" si="0"/>
        <v>9140808.4900000002</v>
      </c>
      <c r="E59" s="71">
        <f>'Раздел II обоснование 2018'!E172</f>
        <v>1455739.3199999998</v>
      </c>
      <c r="F59" s="71">
        <v>46267.5</v>
      </c>
      <c r="G59" s="97">
        <v>0</v>
      </c>
      <c r="H59" s="97">
        <v>7638801.6699999999</v>
      </c>
      <c r="I59" s="71"/>
      <c r="J59" s="99"/>
      <c r="K59" s="99"/>
      <c r="L59" s="99"/>
    </row>
    <row r="60" spans="1:12" ht="38.25" thickBot="1" x14ac:dyDescent="0.3">
      <c r="A60" s="46" t="s">
        <v>88</v>
      </c>
      <c r="B60" s="45" t="s">
        <v>294</v>
      </c>
      <c r="C60" s="3">
        <v>500</v>
      </c>
      <c r="D60" s="71">
        <f t="shared" si="0"/>
        <v>73114598.799999997</v>
      </c>
      <c r="E60" s="71">
        <f>E12</f>
        <v>61762526</v>
      </c>
      <c r="F60" s="71">
        <f>F12</f>
        <v>3712544.24</v>
      </c>
      <c r="G60" s="97">
        <f>G12</f>
        <v>0</v>
      </c>
      <c r="H60" s="97">
        <f>H12</f>
        <v>7639528.5599999996</v>
      </c>
      <c r="I60" s="97"/>
    </row>
    <row r="61" spans="1:12" ht="38.25" thickBot="1" x14ac:dyDescent="0.3">
      <c r="A61" s="46" t="s">
        <v>89</v>
      </c>
      <c r="B61" s="45" t="s">
        <v>295</v>
      </c>
      <c r="C61" s="3">
        <v>600</v>
      </c>
      <c r="D61" s="71">
        <f t="shared" si="0"/>
        <v>71359614.723795608</v>
      </c>
      <c r="E61" s="97">
        <f>E27</f>
        <v>60008268.813795604</v>
      </c>
      <c r="F61" s="97">
        <f>F27</f>
        <v>3712544.24</v>
      </c>
      <c r="G61" s="97">
        <f>G27</f>
        <v>0</v>
      </c>
      <c r="H61" s="97">
        <f>H27</f>
        <v>7638801.6699999999</v>
      </c>
      <c r="I61" s="97"/>
    </row>
    <row r="62" spans="1:12" ht="33" customHeight="1" thickBot="1" x14ac:dyDescent="0.3">
      <c r="A62" s="46" t="s">
        <v>90</v>
      </c>
      <c r="B62" s="45" t="s">
        <v>296</v>
      </c>
      <c r="C62" s="3">
        <v>600</v>
      </c>
      <c r="D62" s="71">
        <f t="shared" si="0"/>
        <v>0</v>
      </c>
      <c r="E62" s="97"/>
      <c r="F62" s="97"/>
      <c r="G62" s="97"/>
      <c r="H62" s="97"/>
      <c r="I62" s="97"/>
    </row>
    <row r="63" spans="1:12" x14ac:dyDescent="0.25">
      <c r="E63" s="206">
        <f>E11+E12-E27</f>
        <v>1754257.1862043962</v>
      </c>
      <c r="F63" s="206">
        <f>F11+F12-F27</f>
        <v>0</v>
      </c>
      <c r="G63" s="206">
        <f>G11+G12-G27</f>
        <v>0</v>
      </c>
      <c r="H63" s="206">
        <f>H11+H12-H27</f>
        <v>36597.089999999851</v>
      </c>
    </row>
    <row r="64" spans="1:12" s="121" customFormat="1" ht="18.75" x14ac:dyDescent="0.25">
      <c r="A64" s="200"/>
      <c r="E64" s="206">
        <f>E60-E61</f>
        <v>1754257.1862043962</v>
      </c>
      <c r="F64" s="206">
        <f>F60-F61</f>
        <v>0</v>
      </c>
      <c r="G64" s="206">
        <f>G60-G61</f>
        <v>0</v>
      </c>
      <c r="H64" s="206"/>
      <c r="J64" s="99"/>
      <c r="K64" s="99"/>
      <c r="L64" s="99"/>
    </row>
    <row r="65" spans="1:1" ht="18.75" x14ac:dyDescent="0.25">
      <c r="A65" s="200"/>
    </row>
  </sheetData>
  <customSheetViews>
    <customSheetView guid="{91D40EB3-3AB1-43EC-9BD4-811B569873C7}" scale="60" showPageBreaks="1" printArea="1" view="pageBreakPreview" topLeftCell="A52">
      <selection activeCell="G89" sqref="G89"/>
      <rowBreaks count="3" manualBreakCount="3">
        <brk id="24" max="11" man="1"/>
        <brk id="47" max="11" man="1"/>
        <brk id="77" max="11" man="1"/>
      </rowBreaks>
      <pageMargins left="0.70866141732283472" right="0.70866141732283472" top="0.74803149606299213" bottom="0.74803149606299213" header="0.31496062992125984" footer="0.31496062992125984"/>
      <pageSetup paperSize="9" scale="44" orientation="landscape" r:id="rId1"/>
    </customSheetView>
    <customSheetView guid="{30DD97D7-A999-4776-AF65-71256237214E}" scale="60" showPageBreaks="1" printArea="1" view="pageBreakPreview">
      <selection activeCell="K33" sqref="K33"/>
      <rowBreaks count="3" manualBreakCount="3">
        <brk id="24" max="11" man="1"/>
        <brk id="47" max="11" man="1"/>
        <brk id="77" max="11" man="1"/>
      </rowBreaks>
      <pageMargins left="0.70866141732283472" right="0.70866141732283472" top="0.74803149606299213" bottom="0.74803149606299213" header="0.31496062992125984" footer="0.31496062992125984"/>
      <pageSetup paperSize="9" scale="44" orientation="landscape" r:id="rId2"/>
    </customSheetView>
    <customSheetView guid="{FB496A58-F583-46B2-B046-A2748948A2F7}" scale="60" showPageBreaks="1" printArea="1" view="pageBreakPreview">
      <selection activeCell="G89" sqref="G89"/>
      <rowBreaks count="3" manualBreakCount="3">
        <brk id="24" max="11" man="1"/>
        <brk id="47" max="11" man="1"/>
        <brk id="77" max="11" man="1"/>
      </rowBreaks>
      <pageMargins left="0.70866141732283472" right="0.70866141732283472" top="0.74803149606299213" bottom="0.74803149606299213" header="0.31496062992125984" footer="0.31496062992125984"/>
      <pageSetup paperSize="9" scale="44" orientation="landscape" r:id="rId3"/>
    </customSheetView>
  </customSheetViews>
  <mergeCells count="102">
    <mergeCell ref="A6:A9"/>
    <mergeCell ref="B6:B9"/>
    <mergeCell ref="C6:C9"/>
    <mergeCell ref="D6:I6"/>
    <mergeCell ref="D7:D9"/>
    <mergeCell ref="H13:H14"/>
    <mergeCell ref="I13:I14"/>
    <mergeCell ref="E7:I7"/>
    <mergeCell ref="E8:E9"/>
    <mergeCell ref="F8:F9"/>
    <mergeCell ref="G8:G9"/>
    <mergeCell ref="H8:I8"/>
    <mergeCell ref="C13:C14"/>
    <mergeCell ref="D13:D14"/>
    <mergeCell ref="E13:E14"/>
    <mergeCell ref="F13:F14"/>
    <mergeCell ref="G13:G14"/>
    <mergeCell ref="I15:I16"/>
    <mergeCell ref="B13:B14"/>
    <mergeCell ref="I18:I19"/>
    <mergeCell ref="H21:H22"/>
    <mergeCell ref="I21:I22"/>
    <mergeCell ref="B18:B19"/>
    <mergeCell ref="C18:C19"/>
    <mergeCell ref="D18:D19"/>
    <mergeCell ref="E18:E19"/>
    <mergeCell ref="F18:F19"/>
    <mergeCell ref="B15:B16"/>
    <mergeCell ref="C15:C16"/>
    <mergeCell ref="D15:D16"/>
    <mergeCell ref="E15:E16"/>
    <mergeCell ref="F15:F16"/>
    <mergeCell ref="G15:G16"/>
    <mergeCell ref="H15:H16"/>
    <mergeCell ref="G18:G19"/>
    <mergeCell ref="H18:H19"/>
    <mergeCell ref="C21:C22"/>
    <mergeCell ref="B30:B31"/>
    <mergeCell ref="C30:C31"/>
    <mergeCell ref="D30:D31"/>
    <mergeCell ref="E30:E31"/>
    <mergeCell ref="B28:B29"/>
    <mergeCell ref="B21:B22"/>
    <mergeCell ref="G28:G29"/>
    <mergeCell ref="D21:D22"/>
    <mergeCell ref="E21:E22"/>
    <mergeCell ref="F21:F22"/>
    <mergeCell ref="G21:G22"/>
    <mergeCell ref="C28:C29"/>
    <mergeCell ref="D28:D29"/>
    <mergeCell ref="E28:E29"/>
    <mergeCell ref="F30:F31"/>
    <mergeCell ref="G30:G31"/>
    <mergeCell ref="H28:H29"/>
    <mergeCell ref="I28:I29"/>
    <mergeCell ref="H30:H31"/>
    <mergeCell ref="I30:I31"/>
    <mergeCell ref="H35:H36"/>
    <mergeCell ref="I35:I36"/>
    <mergeCell ref="G48:G49"/>
    <mergeCell ref="H38:H39"/>
    <mergeCell ref="F28:F29"/>
    <mergeCell ref="F38:F39"/>
    <mergeCell ref="G38:G39"/>
    <mergeCell ref="F35:F36"/>
    <mergeCell ref="G35:G36"/>
    <mergeCell ref="B35:B36"/>
    <mergeCell ref="C35:C36"/>
    <mergeCell ref="B44:B45"/>
    <mergeCell ref="C44:C45"/>
    <mergeCell ref="D44:D45"/>
    <mergeCell ref="E44:E45"/>
    <mergeCell ref="B38:B39"/>
    <mergeCell ref="C38:C39"/>
    <mergeCell ref="D38:D39"/>
    <mergeCell ref="E38:E39"/>
    <mergeCell ref="D35:D36"/>
    <mergeCell ref="E35:E36"/>
    <mergeCell ref="M13:M16"/>
    <mergeCell ref="A3:I3"/>
    <mergeCell ref="A4:I4"/>
    <mergeCell ref="I51:I52"/>
    <mergeCell ref="B48:B49"/>
    <mergeCell ref="C48:C49"/>
    <mergeCell ref="G51:G52"/>
    <mergeCell ref="H51:H52"/>
    <mergeCell ref="D48:D49"/>
    <mergeCell ref="A13:A14"/>
    <mergeCell ref="I38:I39"/>
    <mergeCell ref="H44:H45"/>
    <mergeCell ref="I44:I45"/>
    <mergeCell ref="H48:H49"/>
    <mergeCell ref="I48:I49"/>
    <mergeCell ref="B51:B52"/>
    <mergeCell ref="C51:C52"/>
    <mergeCell ref="D51:D52"/>
    <mergeCell ref="E51:E52"/>
    <mergeCell ref="F51:F52"/>
    <mergeCell ref="F44:F45"/>
    <mergeCell ref="G44:G45"/>
    <mergeCell ref="E48:E49"/>
    <mergeCell ref="F48:F49"/>
  </mergeCells>
  <hyperlinks>
    <hyperlink ref="A6" location="Par1206" display="Par1206"/>
    <hyperlink ref="F8" r:id="rId4" display="consultantplus://offline/ref=EC513630DD0A2F9B2EC0205798B851993A5251D08ECB4308CDDA19182ECC2154EE9666852E0BHBNDC"/>
  </hyperlinks>
  <pageMargins left="0.70866141732283472" right="0.70866141732283472" top="0.74803149606299213" bottom="0.74803149606299213" header="0.31496062992125984" footer="0.31496062992125984"/>
  <pageSetup paperSize="9" scale="43" orientation="portrait" r:id="rId5"/>
  <rowBreaks count="2" manualBreakCount="2">
    <brk id="26" max="11" man="1"/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N65"/>
  <sheetViews>
    <sheetView view="pageBreakPreview" topLeftCell="A52" zoomScale="70" zoomScaleNormal="70" zoomScaleSheetLayoutView="70" zoomScalePageLayoutView="70" workbookViewId="0">
      <selection activeCell="G25" sqref="G25"/>
    </sheetView>
  </sheetViews>
  <sheetFormatPr defaultColWidth="28.85546875" defaultRowHeight="15" x14ac:dyDescent="0.25"/>
  <cols>
    <col min="1" max="1" width="38.85546875" style="93" customWidth="1"/>
    <col min="2" max="2" width="9.5703125" style="93" customWidth="1"/>
    <col min="3" max="3" width="27.7109375" style="93" customWidth="1"/>
    <col min="4" max="4" width="32.140625" style="93" customWidth="1"/>
    <col min="5" max="5" width="21.5703125" style="99" customWidth="1"/>
    <col min="6" max="7" width="18.5703125" style="99" customWidth="1"/>
    <col min="8" max="8" width="17.140625" style="99" customWidth="1"/>
    <col min="9" max="9" width="16.5703125" style="93" customWidth="1"/>
    <col min="10" max="10" width="22.85546875" style="99" customWidth="1"/>
    <col min="11" max="11" width="19.7109375" style="99" customWidth="1"/>
    <col min="12" max="12" width="23.85546875" style="99" customWidth="1"/>
    <col min="13" max="13" width="36.42578125" style="93" customWidth="1"/>
    <col min="14" max="16384" width="28.85546875" style="93"/>
  </cols>
  <sheetData>
    <row r="3" spans="1:13" ht="19.5" customHeight="1" x14ac:dyDescent="0.25">
      <c r="A3" s="268" t="s">
        <v>92</v>
      </c>
      <c r="B3" s="268"/>
      <c r="C3" s="268"/>
      <c r="D3" s="268"/>
      <c r="E3" s="268"/>
      <c r="F3" s="268"/>
      <c r="G3" s="268"/>
      <c r="H3" s="268"/>
      <c r="I3" s="268"/>
    </row>
    <row r="4" spans="1:13" ht="18.75" x14ac:dyDescent="0.25">
      <c r="A4" s="263" t="s">
        <v>424</v>
      </c>
      <c r="B4" s="263"/>
      <c r="C4" s="263"/>
      <c r="D4" s="263"/>
      <c r="E4" s="263"/>
      <c r="F4" s="263"/>
      <c r="G4" s="263"/>
      <c r="H4" s="263"/>
      <c r="I4" s="263"/>
    </row>
    <row r="5" spans="1:13" ht="15.75" thickBot="1" x14ac:dyDescent="0.3">
      <c r="I5" s="93" t="s">
        <v>93</v>
      </c>
    </row>
    <row r="6" spans="1:13" ht="19.5" customHeight="1" thickBot="1" x14ac:dyDescent="0.3">
      <c r="A6" s="300" t="s">
        <v>40</v>
      </c>
      <c r="B6" s="273" t="s">
        <v>41</v>
      </c>
      <c r="C6" s="273" t="s">
        <v>42</v>
      </c>
      <c r="D6" s="304" t="s">
        <v>43</v>
      </c>
      <c r="E6" s="305"/>
      <c r="F6" s="305"/>
      <c r="G6" s="305"/>
      <c r="H6" s="305"/>
      <c r="I6" s="306"/>
    </row>
    <row r="7" spans="1:13" ht="19.5" thickBot="1" x14ac:dyDescent="0.3">
      <c r="A7" s="301"/>
      <c r="B7" s="303"/>
      <c r="C7" s="303"/>
      <c r="D7" s="273" t="s">
        <v>44</v>
      </c>
      <c r="E7" s="304" t="s">
        <v>22</v>
      </c>
      <c r="F7" s="305"/>
      <c r="G7" s="305"/>
      <c r="H7" s="305"/>
      <c r="I7" s="306"/>
    </row>
    <row r="8" spans="1:13" ht="100.5" customHeight="1" thickBot="1" x14ac:dyDescent="0.3">
      <c r="A8" s="301"/>
      <c r="B8" s="303"/>
      <c r="C8" s="303"/>
      <c r="D8" s="303"/>
      <c r="E8" s="307" t="s">
        <v>45</v>
      </c>
      <c r="F8" s="309" t="s">
        <v>46</v>
      </c>
      <c r="G8" s="307" t="s">
        <v>47</v>
      </c>
      <c r="H8" s="304" t="s">
        <v>48</v>
      </c>
      <c r="I8" s="306"/>
    </row>
    <row r="9" spans="1:13" ht="45" customHeight="1" thickBot="1" x14ac:dyDescent="0.3">
      <c r="A9" s="302"/>
      <c r="B9" s="274"/>
      <c r="C9" s="274"/>
      <c r="D9" s="274"/>
      <c r="E9" s="308"/>
      <c r="F9" s="310"/>
      <c r="G9" s="308"/>
      <c r="H9" s="96" t="s">
        <v>44</v>
      </c>
      <c r="I9" s="214" t="s">
        <v>49</v>
      </c>
    </row>
    <row r="10" spans="1:13" ht="19.5" thickBot="1" x14ac:dyDescent="0.3">
      <c r="A10" s="208">
        <v>1</v>
      </c>
      <c r="B10" s="214">
        <v>2</v>
      </c>
      <c r="C10" s="214">
        <v>3</v>
      </c>
      <c r="D10" s="214">
        <v>4</v>
      </c>
      <c r="E10" s="96">
        <v>5</v>
      </c>
      <c r="F10" s="96">
        <v>6</v>
      </c>
      <c r="G10" s="96">
        <v>7</v>
      </c>
      <c r="H10" s="96">
        <v>8</v>
      </c>
      <c r="I10" s="214">
        <v>9</v>
      </c>
    </row>
    <row r="11" spans="1:13" s="143" customFormat="1" ht="48.75" customHeight="1" thickBot="1" x14ac:dyDescent="0.3">
      <c r="A11" s="59" t="s">
        <v>50</v>
      </c>
      <c r="B11" s="60" t="s">
        <v>252</v>
      </c>
      <c r="C11" s="61" t="s">
        <v>51</v>
      </c>
      <c r="D11" s="62">
        <f>E11+F11+G11+H11</f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146"/>
      <c r="K11" s="146"/>
      <c r="L11" s="146"/>
      <c r="M11" s="143" t="s">
        <v>258</v>
      </c>
    </row>
    <row r="12" spans="1:13" s="143" customFormat="1" ht="47.25" customHeight="1" thickBot="1" x14ac:dyDescent="0.3">
      <c r="A12" s="59" t="s">
        <v>52</v>
      </c>
      <c r="B12" s="60" t="s">
        <v>253</v>
      </c>
      <c r="C12" s="61" t="s">
        <v>51</v>
      </c>
      <c r="D12" s="62">
        <f>D13+D17+D20+D25+D26</f>
        <v>63771892.5</v>
      </c>
      <c r="E12" s="62">
        <f>E17</f>
        <v>57523800</v>
      </c>
      <c r="F12" s="62">
        <f>F25</f>
        <v>0</v>
      </c>
      <c r="G12" s="62">
        <f>G25</f>
        <v>0</v>
      </c>
      <c r="H12" s="62">
        <f>H13+H17+H20+H24+H26</f>
        <v>6248092.5</v>
      </c>
      <c r="I12" s="62">
        <v>0</v>
      </c>
      <c r="J12" s="146"/>
      <c r="K12" s="146"/>
      <c r="L12" s="146"/>
      <c r="M12" s="144"/>
    </row>
    <row r="13" spans="1:13" s="47" customFormat="1" ht="18.75" customHeight="1" x14ac:dyDescent="0.25">
      <c r="A13" s="285" t="s">
        <v>259</v>
      </c>
      <c r="B13" s="294" t="s">
        <v>254</v>
      </c>
      <c r="C13" s="298">
        <v>120</v>
      </c>
      <c r="D13" s="292">
        <f>D15</f>
        <v>0</v>
      </c>
      <c r="E13" s="290" t="s">
        <v>51</v>
      </c>
      <c r="F13" s="290" t="s">
        <v>51</v>
      </c>
      <c r="G13" s="290" t="s">
        <v>51</v>
      </c>
      <c r="H13" s="290">
        <f>H15</f>
        <v>0</v>
      </c>
      <c r="I13" s="292" t="s">
        <v>51</v>
      </c>
      <c r="J13" s="147"/>
      <c r="K13" s="147"/>
      <c r="L13" s="147"/>
      <c r="M13" s="275" t="s">
        <v>260</v>
      </c>
    </row>
    <row r="14" spans="1:13" s="47" customFormat="1" ht="30.75" customHeight="1" thickBot="1" x14ac:dyDescent="0.3">
      <c r="A14" s="286"/>
      <c r="B14" s="295"/>
      <c r="C14" s="299"/>
      <c r="D14" s="293"/>
      <c r="E14" s="291"/>
      <c r="F14" s="291"/>
      <c r="G14" s="291"/>
      <c r="H14" s="291"/>
      <c r="I14" s="293"/>
      <c r="J14" s="147"/>
      <c r="K14" s="147"/>
      <c r="L14" s="147"/>
      <c r="M14" s="275"/>
    </row>
    <row r="15" spans="1:13" ht="18.75" customHeight="1" x14ac:dyDescent="0.25">
      <c r="A15" s="16" t="s">
        <v>4</v>
      </c>
      <c r="B15" s="296" t="s">
        <v>255</v>
      </c>
      <c r="C15" s="273">
        <v>120</v>
      </c>
      <c r="D15" s="271">
        <f>H15</f>
        <v>0</v>
      </c>
      <c r="E15" s="282" t="s">
        <v>51</v>
      </c>
      <c r="F15" s="282" t="s">
        <v>51</v>
      </c>
      <c r="G15" s="282" t="s">
        <v>51</v>
      </c>
      <c r="H15" s="282">
        <v>0</v>
      </c>
      <c r="I15" s="271" t="s">
        <v>51</v>
      </c>
      <c r="M15" s="275"/>
    </row>
    <row r="16" spans="1:13" ht="145.5" customHeight="1" thickBot="1" x14ac:dyDescent="0.3">
      <c r="A16" s="17" t="s">
        <v>53</v>
      </c>
      <c r="B16" s="297"/>
      <c r="C16" s="274"/>
      <c r="D16" s="272"/>
      <c r="E16" s="283"/>
      <c r="F16" s="283"/>
      <c r="G16" s="283"/>
      <c r="H16" s="283"/>
      <c r="I16" s="272"/>
      <c r="M16" s="275"/>
    </row>
    <row r="17" spans="1:14" s="52" customFormat="1" ht="89.25" customHeight="1" thickBot="1" x14ac:dyDescent="0.3">
      <c r="A17" s="48" t="s">
        <v>54</v>
      </c>
      <c r="B17" s="49" t="s">
        <v>256</v>
      </c>
      <c r="C17" s="50">
        <v>130</v>
      </c>
      <c r="D17" s="51">
        <f>D18</f>
        <v>57523800</v>
      </c>
      <c r="E17" s="139">
        <f>E18</f>
        <v>57523800</v>
      </c>
      <c r="F17" s="139" t="s">
        <v>51</v>
      </c>
      <c r="G17" s="139" t="s">
        <v>51</v>
      </c>
      <c r="H17" s="139">
        <f>H18</f>
        <v>0</v>
      </c>
      <c r="I17" s="51">
        <f>I18</f>
        <v>0</v>
      </c>
      <c r="J17" s="147"/>
      <c r="K17" s="147"/>
      <c r="L17" s="147"/>
      <c r="M17" s="52" t="s">
        <v>261</v>
      </c>
      <c r="N17" s="53">
        <f>E17-E27</f>
        <v>125761.02498131245</v>
      </c>
    </row>
    <row r="18" spans="1:14" ht="18.75" x14ac:dyDescent="0.25">
      <c r="A18" s="16" t="s">
        <v>55</v>
      </c>
      <c r="B18" s="296" t="s">
        <v>257</v>
      </c>
      <c r="C18" s="273">
        <v>130</v>
      </c>
      <c r="D18" s="271">
        <f>E18+H18</f>
        <v>57523800</v>
      </c>
      <c r="E18" s="282">
        <v>57523800</v>
      </c>
      <c r="F18" s="282" t="s">
        <v>51</v>
      </c>
      <c r="G18" s="282" t="s">
        <v>51</v>
      </c>
      <c r="H18" s="282">
        <v>0</v>
      </c>
      <c r="I18" s="271">
        <v>0</v>
      </c>
    </row>
    <row r="19" spans="1:14" ht="75.75" thickBot="1" x14ac:dyDescent="0.3">
      <c r="A19" s="17" t="s">
        <v>56</v>
      </c>
      <c r="B19" s="297"/>
      <c r="C19" s="274"/>
      <c r="D19" s="272"/>
      <c r="E19" s="283"/>
      <c r="F19" s="283"/>
      <c r="G19" s="283"/>
      <c r="H19" s="283"/>
      <c r="I19" s="272"/>
    </row>
    <row r="20" spans="1:14" s="52" customFormat="1" ht="57" thickBot="1" x14ac:dyDescent="0.3">
      <c r="A20" s="48" t="s">
        <v>57</v>
      </c>
      <c r="B20" s="49" t="s">
        <v>262</v>
      </c>
      <c r="C20" s="50">
        <v>130</v>
      </c>
      <c r="D20" s="51">
        <f>D21+D23+D24</f>
        <v>6248092.5</v>
      </c>
      <c r="E20" s="139" t="s">
        <v>51</v>
      </c>
      <c r="F20" s="139" t="s">
        <v>51</v>
      </c>
      <c r="G20" s="139" t="s">
        <v>51</v>
      </c>
      <c r="H20" s="139">
        <f>H23</f>
        <v>6248092.5</v>
      </c>
      <c r="I20" s="51">
        <v>0</v>
      </c>
      <c r="J20" s="147"/>
      <c r="K20" s="147"/>
      <c r="L20" s="147"/>
    </row>
    <row r="21" spans="1:14" ht="18.75" x14ac:dyDescent="0.25">
      <c r="A21" s="16" t="s">
        <v>22</v>
      </c>
      <c r="B21" s="296" t="s">
        <v>263</v>
      </c>
      <c r="C21" s="273">
        <v>130</v>
      </c>
      <c r="D21" s="271">
        <f>H21</f>
        <v>0</v>
      </c>
      <c r="E21" s="282" t="s">
        <v>51</v>
      </c>
      <c r="F21" s="282" t="s">
        <v>51</v>
      </c>
      <c r="G21" s="282" t="s">
        <v>51</v>
      </c>
      <c r="H21" s="282">
        <v>0</v>
      </c>
      <c r="I21" s="276">
        <v>0</v>
      </c>
    </row>
    <row r="22" spans="1:14" ht="38.25" thickBot="1" x14ac:dyDescent="0.3">
      <c r="A22" s="17" t="s">
        <v>58</v>
      </c>
      <c r="B22" s="297"/>
      <c r="C22" s="274"/>
      <c r="D22" s="272"/>
      <c r="E22" s="283"/>
      <c r="F22" s="283"/>
      <c r="G22" s="283"/>
      <c r="H22" s="283"/>
      <c r="I22" s="277"/>
    </row>
    <row r="23" spans="1:14" ht="28.5" customHeight="1" thickBot="1" x14ac:dyDescent="0.3">
      <c r="A23" s="17" t="s">
        <v>59</v>
      </c>
      <c r="B23" s="45" t="s">
        <v>264</v>
      </c>
      <c r="C23" s="214">
        <v>130</v>
      </c>
      <c r="D23" s="20">
        <f>H23</f>
        <v>6248092.5</v>
      </c>
      <c r="E23" s="97" t="s">
        <v>51</v>
      </c>
      <c r="F23" s="97" t="s">
        <v>51</v>
      </c>
      <c r="G23" s="97" t="s">
        <v>51</v>
      </c>
      <c r="H23" s="97">
        <v>6248092.5</v>
      </c>
      <c r="I23" s="20">
        <v>0</v>
      </c>
    </row>
    <row r="24" spans="1:14" ht="57" thickBot="1" x14ac:dyDescent="0.3">
      <c r="A24" s="17" t="s">
        <v>60</v>
      </c>
      <c r="B24" s="45" t="s">
        <v>265</v>
      </c>
      <c r="C24" s="214">
        <v>140</v>
      </c>
      <c r="D24" s="20">
        <f>H24</f>
        <v>0</v>
      </c>
      <c r="E24" s="97" t="s">
        <v>51</v>
      </c>
      <c r="F24" s="97" t="s">
        <v>51</v>
      </c>
      <c r="G24" s="97" t="s">
        <v>51</v>
      </c>
      <c r="H24" s="97">
        <v>0</v>
      </c>
      <c r="I24" s="20" t="s">
        <v>51</v>
      </c>
    </row>
    <row r="25" spans="1:14" s="52" customFormat="1" ht="57" thickBot="1" x14ac:dyDescent="0.3">
      <c r="A25" s="48" t="s">
        <v>61</v>
      </c>
      <c r="B25" s="49" t="s">
        <v>266</v>
      </c>
      <c r="C25" s="50">
        <v>180</v>
      </c>
      <c r="D25" s="51">
        <f>F25+G25</f>
        <v>0</v>
      </c>
      <c r="E25" s="139" t="s">
        <v>51</v>
      </c>
      <c r="F25" s="139">
        <v>0</v>
      </c>
      <c r="G25" s="139">
        <v>0</v>
      </c>
      <c r="H25" s="139" t="s">
        <v>51</v>
      </c>
      <c r="I25" s="51" t="s">
        <v>51</v>
      </c>
      <c r="J25" s="147"/>
      <c r="K25" s="147"/>
      <c r="L25" s="147"/>
    </row>
    <row r="26" spans="1:14" s="52" customFormat="1" ht="43.5" customHeight="1" thickBot="1" x14ac:dyDescent="0.3">
      <c r="A26" s="54" t="s">
        <v>62</v>
      </c>
      <c r="B26" s="49" t="s">
        <v>268</v>
      </c>
      <c r="C26" s="50">
        <v>180</v>
      </c>
      <c r="D26" s="51">
        <f>H26</f>
        <v>0</v>
      </c>
      <c r="E26" s="139" t="s">
        <v>51</v>
      </c>
      <c r="F26" s="139" t="s">
        <v>51</v>
      </c>
      <c r="G26" s="139" t="s">
        <v>51</v>
      </c>
      <c r="H26" s="139">
        <v>0</v>
      </c>
      <c r="I26" s="51">
        <v>0</v>
      </c>
      <c r="J26" s="147"/>
      <c r="K26" s="147"/>
      <c r="L26" s="147"/>
    </row>
    <row r="27" spans="1:14" s="145" customFormat="1" ht="53.25" customHeight="1" thickBot="1" x14ac:dyDescent="0.3">
      <c r="A27" s="55" t="s">
        <v>63</v>
      </c>
      <c r="B27" s="56" t="s">
        <v>269</v>
      </c>
      <c r="C27" s="57" t="s">
        <v>51</v>
      </c>
      <c r="D27" s="58">
        <f>D28+D34+D37+D43+D47</f>
        <v>65036840.644012488</v>
      </c>
      <c r="E27" s="58">
        <f>E28+E34+E37+E43+E47</f>
        <v>57398038.975018688</v>
      </c>
      <c r="F27" s="58">
        <f>F28+F34+F37+F43+F47</f>
        <v>0</v>
      </c>
      <c r="G27" s="58">
        <f>G28+G34+G37+G43+G47</f>
        <v>0</v>
      </c>
      <c r="H27" s="58">
        <f>H28+H34+H37+H43+H47</f>
        <v>7638801.6689938009</v>
      </c>
      <c r="I27" s="58"/>
      <c r="J27" s="148"/>
      <c r="K27" s="148"/>
      <c r="L27" s="148"/>
      <c r="M27" s="145" t="s">
        <v>267</v>
      </c>
    </row>
    <row r="28" spans="1:14" s="209" customFormat="1" ht="18.75" x14ac:dyDescent="0.25">
      <c r="A28" s="78" t="s">
        <v>22</v>
      </c>
      <c r="B28" s="294" t="s">
        <v>270</v>
      </c>
      <c r="C28" s="298">
        <v>100</v>
      </c>
      <c r="D28" s="292">
        <f>D30+D32+D33</f>
        <v>47868107.352218688</v>
      </c>
      <c r="E28" s="290">
        <f>E30+E32+E33</f>
        <v>47868107.352218688</v>
      </c>
      <c r="F28" s="290">
        <f>F30+F32+F33</f>
        <v>0</v>
      </c>
      <c r="G28" s="290">
        <f>G30+G32+G33</f>
        <v>0</v>
      </c>
      <c r="H28" s="290">
        <f>H30+H32+H33</f>
        <v>0</v>
      </c>
      <c r="I28" s="292"/>
      <c r="J28" s="99"/>
      <c r="K28" s="99"/>
      <c r="L28" s="99"/>
    </row>
    <row r="29" spans="1:14" s="209" customFormat="1" ht="38.25" thickBot="1" x14ac:dyDescent="0.3">
      <c r="A29" s="211" t="s">
        <v>64</v>
      </c>
      <c r="B29" s="295"/>
      <c r="C29" s="299"/>
      <c r="D29" s="293"/>
      <c r="E29" s="291"/>
      <c r="F29" s="291"/>
      <c r="G29" s="291"/>
      <c r="H29" s="291"/>
      <c r="I29" s="293"/>
      <c r="J29" s="99"/>
      <c r="K29" s="99"/>
      <c r="L29" s="99"/>
      <c r="M29" s="79"/>
    </row>
    <row r="30" spans="1:14" s="209" customFormat="1" ht="18.75" x14ac:dyDescent="0.25">
      <c r="A30" s="80" t="s">
        <v>4</v>
      </c>
      <c r="B30" s="288" t="s">
        <v>271</v>
      </c>
      <c r="C30" s="289">
        <v>111</v>
      </c>
      <c r="D30" s="276">
        <f>E30+F30+G30+H30</f>
        <v>36424098.062218688</v>
      </c>
      <c r="E30" s="276">
        <f>'Раздел II обоснование 2019'!J28</f>
        <v>36424098.062218688</v>
      </c>
      <c r="F30" s="282">
        <v>0</v>
      </c>
      <c r="G30" s="282">
        <v>0</v>
      </c>
      <c r="H30" s="282">
        <v>0</v>
      </c>
      <c r="I30" s="276"/>
      <c r="J30" s="99"/>
      <c r="K30" s="99"/>
      <c r="L30" s="99"/>
    </row>
    <row r="31" spans="1:14" s="209" customFormat="1" ht="19.5" thickBot="1" x14ac:dyDescent="0.3">
      <c r="A31" s="81" t="s">
        <v>65</v>
      </c>
      <c r="B31" s="279"/>
      <c r="C31" s="281"/>
      <c r="D31" s="277"/>
      <c r="E31" s="277"/>
      <c r="F31" s="283"/>
      <c r="G31" s="283"/>
      <c r="H31" s="283"/>
      <c r="I31" s="277"/>
      <c r="J31" s="99"/>
      <c r="K31" s="99"/>
      <c r="L31" s="99"/>
    </row>
    <row r="32" spans="1:14" s="209" customFormat="1" ht="68.25" customHeight="1" thickBot="1" x14ac:dyDescent="0.3">
      <c r="A32" s="69" t="s">
        <v>66</v>
      </c>
      <c r="B32" s="82" t="s">
        <v>272</v>
      </c>
      <c r="C32" s="184">
        <v>112</v>
      </c>
      <c r="D32" s="71">
        <f>E32+F32+G32+H32</f>
        <v>7560</v>
      </c>
      <c r="E32" s="97">
        <f>'Раздел II обоснование 2019'!F43</f>
        <v>7560</v>
      </c>
      <c r="F32" s="97">
        <v>0</v>
      </c>
      <c r="G32" s="97">
        <v>0</v>
      </c>
      <c r="H32" s="97">
        <v>0</v>
      </c>
      <c r="I32" s="71"/>
      <c r="J32" s="99"/>
      <c r="K32" s="99"/>
      <c r="L32" s="99"/>
    </row>
    <row r="33" spans="1:14" s="209" customFormat="1" ht="117" customHeight="1" thickBot="1" x14ac:dyDescent="0.3">
      <c r="A33" s="69" t="s">
        <v>67</v>
      </c>
      <c r="B33" s="82" t="s">
        <v>273</v>
      </c>
      <c r="C33" s="184">
        <v>119</v>
      </c>
      <c r="D33" s="71">
        <f>E33+F33+G33+H33</f>
        <v>11436449.289999999</v>
      </c>
      <c r="E33" s="71">
        <f>'Раздел II обоснование 2019'!D55</f>
        <v>11436449.289999999</v>
      </c>
      <c r="F33" s="97">
        <v>0</v>
      </c>
      <c r="G33" s="97">
        <v>0</v>
      </c>
      <c r="H33" s="97">
        <v>0</v>
      </c>
      <c r="I33" s="71"/>
      <c r="J33" s="99"/>
      <c r="K33" s="99"/>
      <c r="L33" s="99"/>
    </row>
    <row r="34" spans="1:14" s="209" customFormat="1" ht="47.25" customHeight="1" thickBot="1" x14ac:dyDescent="0.3">
      <c r="A34" s="83" t="s">
        <v>68</v>
      </c>
      <c r="B34" s="84" t="s">
        <v>274</v>
      </c>
      <c r="C34" s="85">
        <v>300</v>
      </c>
      <c r="D34" s="86">
        <f>D35</f>
        <v>0</v>
      </c>
      <c r="E34" s="139">
        <f>E35</f>
        <v>0</v>
      </c>
      <c r="F34" s="139">
        <f>F35</f>
        <v>0</v>
      </c>
      <c r="G34" s="139">
        <f>G35</f>
        <v>0</v>
      </c>
      <c r="H34" s="139">
        <f>H35</f>
        <v>0</v>
      </c>
      <c r="I34" s="86"/>
      <c r="J34" s="99"/>
      <c r="K34" s="99"/>
      <c r="L34" s="99"/>
    </row>
    <row r="35" spans="1:14" s="209" customFormat="1" ht="18.75" x14ac:dyDescent="0.25">
      <c r="A35" s="87" t="s">
        <v>4</v>
      </c>
      <c r="B35" s="288" t="s">
        <v>275</v>
      </c>
      <c r="C35" s="289">
        <v>321</v>
      </c>
      <c r="D35" s="276">
        <f>E35+F35+G35+H35</f>
        <v>0</v>
      </c>
      <c r="E35" s="282">
        <v>0</v>
      </c>
      <c r="F35" s="282">
        <v>0</v>
      </c>
      <c r="G35" s="282">
        <v>0</v>
      </c>
      <c r="H35" s="282">
        <v>0</v>
      </c>
      <c r="I35" s="276"/>
      <c r="J35" s="99"/>
      <c r="K35" s="99"/>
      <c r="L35" s="99"/>
    </row>
    <row r="36" spans="1:14" s="209" customFormat="1" ht="75.75" thickBot="1" x14ac:dyDescent="0.3">
      <c r="A36" s="69" t="s">
        <v>69</v>
      </c>
      <c r="B36" s="279"/>
      <c r="C36" s="281"/>
      <c r="D36" s="277"/>
      <c r="E36" s="283"/>
      <c r="F36" s="283"/>
      <c r="G36" s="283"/>
      <c r="H36" s="283"/>
      <c r="I36" s="277"/>
      <c r="J36" s="99"/>
      <c r="K36" s="99"/>
      <c r="L36" s="99"/>
    </row>
    <row r="37" spans="1:14" s="209" customFormat="1" ht="53.25" customHeight="1" thickBot="1" x14ac:dyDescent="0.3">
      <c r="A37" s="83" t="s">
        <v>70</v>
      </c>
      <c r="B37" s="84" t="s">
        <v>276</v>
      </c>
      <c r="C37" s="85">
        <v>850</v>
      </c>
      <c r="D37" s="86">
        <f>D38+D40+D41+D42</f>
        <v>1434991.9952000002</v>
      </c>
      <c r="E37" s="139">
        <f>E38+E40+E41+E42</f>
        <v>1434991.9952000002</v>
      </c>
      <c r="F37" s="139">
        <f>F38+F40+F41+F42</f>
        <v>0</v>
      </c>
      <c r="G37" s="139">
        <f>G40</f>
        <v>0</v>
      </c>
      <c r="H37" s="139">
        <f>H38+H40+H41+H42</f>
        <v>0</v>
      </c>
      <c r="I37" s="86"/>
      <c r="J37" s="99"/>
      <c r="K37" s="99"/>
      <c r="L37" s="99"/>
    </row>
    <row r="38" spans="1:14" s="209" customFormat="1" ht="18.75" x14ac:dyDescent="0.25">
      <c r="A38" s="87" t="s">
        <v>4</v>
      </c>
      <c r="B38" s="288" t="s">
        <v>277</v>
      </c>
      <c r="C38" s="289">
        <v>851</v>
      </c>
      <c r="D38" s="276">
        <f>E38+F38+H38</f>
        <v>826235.7202000001</v>
      </c>
      <c r="E38" s="276">
        <f>'Раздел II обоснование 2019'!E77</f>
        <v>826235.7202000001</v>
      </c>
      <c r="F38" s="282">
        <v>0</v>
      </c>
      <c r="G38" s="282" t="s">
        <v>51</v>
      </c>
      <c r="H38" s="282">
        <v>0</v>
      </c>
      <c r="I38" s="276"/>
      <c r="J38" s="99"/>
      <c r="K38" s="99"/>
      <c r="L38" s="99"/>
    </row>
    <row r="39" spans="1:14" s="209" customFormat="1" ht="19.5" thickBot="1" x14ac:dyDescent="0.3">
      <c r="A39" s="69" t="s">
        <v>91</v>
      </c>
      <c r="B39" s="279"/>
      <c r="C39" s="281"/>
      <c r="D39" s="277"/>
      <c r="E39" s="277"/>
      <c r="F39" s="283"/>
      <c r="G39" s="283"/>
      <c r="H39" s="283"/>
      <c r="I39" s="277"/>
      <c r="J39" s="99"/>
      <c r="K39" s="99"/>
      <c r="L39" s="99"/>
    </row>
    <row r="40" spans="1:14" s="209" customFormat="1" ht="34.5" customHeight="1" thickBot="1" x14ac:dyDescent="0.3">
      <c r="A40" s="88" t="s">
        <v>71</v>
      </c>
      <c r="B40" s="82" t="s">
        <v>278</v>
      </c>
      <c r="C40" s="184">
        <v>851</v>
      </c>
      <c r="D40" s="71">
        <f>E40+F40+G40+H40</f>
        <v>508756.27500000002</v>
      </c>
      <c r="E40" s="97">
        <f>'Раздел II обоснование 2019'!E78</f>
        <v>508756.27500000002</v>
      </c>
      <c r="F40" s="97">
        <v>0</v>
      </c>
      <c r="G40" s="97">
        <v>0</v>
      </c>
      <c r="H40" s="97">
        <v>0</v>
      </c>
      <c r="I40" s="71"/>
      <c r="J40" s="99"/>
      <c r="K40" s="99"/>
      <c r="L40" s="99"/>
    </row>
    <row r="41" spans="1:14" s="209" customFormat="1" ht="60" customHeight="1" thickBot="1" x14ac:dyDescent="0.3">
      <c r="A41" s="69" t="s">
        <v>72</v>
      </c>
      <c r="B41" s="82" t="s">
        <v>279</v>
      </c>
      <c r="C41" s="184">
        <v>852</v>
      </c>
      <c r="D41" s="71">
        <f>E41+F41+H41</f>
        <v>0</v>
      </c>
      <c r="E41" s="97">
        <v>0</v>
      </c>
      <c r="F41" s="97">
        <v>0</v>
      </c>
      <c r="G41" s="97" t="s">
        <v>51</v>
      </c>
      <c r="H41" s="97">
        <v>0</v>
      </c>
      <c r="I41" s="71"/>
      <c r="J41" s="99"/>
      <c r="K41" s="99"/>
      <c r="L41" s="99"/>
    </row>
    <row r="42" spans="1:14" s="209" customFormat="1" ht="51.75" customHeight="1" thickBot="1" x14ac:dyDescent="0.3">
      <c r="A42" s="69" t="s">
        <v>73</v>
      </c>
      <c r="B42" s="82" t="s">
        <v>280</v>
      </c>
      <c r="C42" s="184">
        <v>853</v>
      </c>
      <c r="D42" s="71">
        <f>E42+F42+H42</f>
        <v>100000</v>
      </c>
      <c r="E42" s="97">
        <f>'Раздел II обоснование 2018'!E79</f>
        <v>100000</v>
      </c>
      <c r="F42" s="97">
        <v>0</v>
      </c>
      <c r="G42" s="97" t="s">
        <v>51</v>
      </c>
      <c r="H42" s="97">
        <f>'Раздел II обоснование ПДД 2018'!E76</f>
        <v>0</v>
      </c>
      <c r="I42" s="71"/>
      <c r="J42" s="99"/>
      <c r="K42" s="99"/>
      <c r="L42" s="99"/>
    </row>
    <row r="43" spans="1:14" s="47" customFormat="1" ht="57" thickBot="1" x14ac:dyDescent="0.3">
      <c r="A43" s="83" t="s">
        <v>74</v>
      </c>
      <c r="B43" s="84" t="s">
        <v>281</v>
      </c>
      <c r="C43" s="85">
        <v>400</v>
      </c>
      <c r="D43" s="86">
        <f>D44+D46</f>
        <v>0</v>
      </c>
      <c r="E43" s="139">
        <f>E44+E46</f>
        <v>0</v>
      </c>
      <c r="F43" s="139">
        <f>F44+F46</f>
        <v>0</v>
      </c>
      <c r="G43" s="139">
        <f>G44+G46</f>
        <v>0</v>
      </c>
      <c r="H43" s="139">
        <f>H44+H46</f>
        <v>0</v>
      </c>
      <c r="I43" s="86"/>
      <c r="J43" s="147"/>
      <c r="K43" s="147"/>
      <c r="L43" s="147"/>
    </row>
    <row r="44" spans="1:14" s="209" customFormat="1" ht="18.75" x14ac:dyDescent="0.25">
      <c r="A44" s="80" t="s">
        <v>4</v>
      </c>
      <c r="B44" s="288" t="s">
        <v>282</v>
      </c>
      <c r="C44" s="289">
        <v>416</v>
      </c>
      <c r="D44" s="276">
        <f>E44+F44+G44+H44</f>
        <v>0</v>
      </c>
      <c r="E44" s="282">
        <v>0</v>
      </c>
      <c r="F44" s="282">
        <v>0</v>
      </c>
      <c r="G44" s="282">
        <v>0</v>
      </c>
      <c r="H44" s="282">
        <v>0</v>
      </c>
      <c r="I44" s="276"/>
      <c r="J44" s="99"/>
      <c r="K44" s="99"/>
      <c r="L44" s="99"/>
    </row>
    <row r="45" spans="1:14" s="209" customFormat="1" ht="97.5" customHeight="1" thickBot="1" x14ac:dyDescent="0.3">
      <c r="A45" s="88" t="s">
        <v>75</v>
      </c>
      <c r="B45" s="279"/>
      <c r="C45" s="281"/>
      <c r="D45" s="277"/>
      <c r="E45" s="283"/>
      <c r="F45" s="283"/>
      <c r="G45" s="283"/>
      <c r="H45" s="283"/>
      <c r="I45" s="277"/>
      <c r="J45" s="99"/>
      <c r="K45" s="99"/>
      <c r="L45" s="99"/>
    </row>
    <row r="46" spans="1:14" s="209" customFormat="1" ht="93.75" x14ac:dyDescent="0.25">
      <c r="A46" s="165" t="s">
        <v>76</v>
      </c>
      <c r="B46" s="166" t="s">
        <v>283</v>
      </c>
      <c r="C46" s="167">
        <v>417</v>
      </c>
      <c r="D46" s="168">
        <f>E46+F46+G46+H46</f>
        <v>0</v>
      </c>
      <c r="E46" s="169">
        <v>0</v>
      </c>
      <c r="F46" s="169">
        <v>0</v>
      </c>
      <c r="G46" s="169">
        <v>0</v>
      </c>
      <c r="H46" s="169">
        <v>0</v>
      </c>
      <c r="I46" s="168"/>
      <c r="J46" s="99"/>
      <c r="K46" s="99"/>
      <c r="L46" s="99"/>
    </row>
    <row r="47" spans="1:14" s="47" customFormat="1" ht="58.5" customHeight="1" x14ac:dyDescent="0.25">
      <c r="A47" s="160" t="s">
        <v>77</v>
      </c>
      <c r="B47" s="161" t="s">
        <v>284</v>
      </c>
      <c r="C47" s="162">
        <v>200</v>
      </c>
      <c r="D47" s="163">
        <f>D48+D50</f>
        <v>15733741.2965938</v>
      </c>
      <c r="E47" s="164">
        <f>E48+E50</f>
        <v>8094939.6276000002</v>
      </c>
      <c r="F47" s="164">
        <f>F48+F50</f>
        <v>0</v>
      </c>
      <c r="G47" s="164">
        <f>G48+G50</f>
        <v>0</v>
      </c>
      <c r="H47" s="164">
        <f>H48+H50</f>
        <v>7638801.6689938009</v>
      </c>
      <c r="I47" s="163"/>
      <c r="J47" s="147"/>
      <c r="K47" s="147"/>
      <c r="L47" s="147"/>
      <c r="M47" s="47" t="s">
        <v>299</v>
      </c>
      <c r="N47" s="89"/>
    </row>
    <row r="48" spans="1:14" s="209" customFormat="1" ht="18.75" x14ac:dyDescent="0.25">
      <c r="A48" s="159" t="s">
        <v>4</v>
      </c>
      <c r="B48" s="278" t="s">
        <v>285</v>
      </c>
      <c r="C48" s="280">
        <v>243</v>
      </c>
      <c r="D48" s="284">
        <f>E48+F48+G48+H48</f>
        <v>0</v>
      </c>
      <c r="E48" s="284">
        <v>0</v>
      </c>
      <c r="F48" s="284">
        <v>0</v>
      </c>
      <c r="G48" s="287">
        <v>0</v>
      </c>
      <c r="H48" s="287">
        <v>0</v>
      </c>
      <c r="I48" s="284"/>
      <c r="J48" s="99"/>
      <c r="K48" s="99"/>
      <c r="L48" s="99"/>
      <c r="N48" s="79"/>
    </row>
    <row r="49" spans="1:12" s="209" customFormat="1" ht="57" thickBot="1" x14ac:dyDescent="0.3">
      <c r="A49" s="81" t="s">
        <v>78</v>
      </c>
      <c r="B49" s="279"/>
      <c r="C49" s="281"/>
      <c r="D49" s="277"/>
      <c r="E49" s="277"/>
      <c r="F49" s="277"/>
      <c r="G49" s="283"/>
      <c r="H49" s="283"/>
      <c r="I49" s="277"/>
      <c r="J49" s="99"/>
      <c r="K49" s="99"/>
      <c r="L49" s="99"/>
    </row>
    <row r="50" spans="1:12" s="209" customFormat="1" ht="57" customHeight="1" thickBot="1" x14ac:dyDescent="0.3">
      <c r="A50" s="81" t="s">
        <v>79</v>
      </c>
      <c r="B50" s="82" t="s">
        <v>286</v>
      </c>
      <c r="C50" s="184">
        <v>244</v>
      </c>
      <c r="D50" s="71">
        <f>D51+D53+D54+D55+D56+D57+D58+D59</f>
        <v>15733741.2965938</v>
      </c>
      <c r="E50" s="71">
        <f>E51+E53+E54+E55+E56+E57+E58+E59</f>
        <v>8094939.6276000002</v>
      </c>
      <c r="F50" s="71">
        <f>F51+F53+F54+F55+F56+F57+F58+F59</f>
        <v>0</v>
      </c>
      <c r="G50" s="97">
        <f>G53+G54+G56+G57+G58+G59</f>
        <v>0</v>
      </c>
      <c r="H50" s="97">
        <f>H51+H53+H54+H55+H56+H57+H58+H59</f>
        <v>7638801.6689938009</v>
      </c>
      <c r="I50" s="71"/>
      <c r="J50" s="99"/>
      <c r="K50" s="99"/>
      <c r="L50" s="99"/>
    </row>
    <row r="51" spans="1:12" s="209" customFormat="1" ht="18.75" x14ac:dyDescent="0.25">
      <c r="A51" s="90" t="s">
        <v>4</v>
      </c>
      <c r="B51" s="288" t="s">
        <v>287</v>
      </c>
      <c r="C51" s="289">
        <v>244</v>
      </c>
      <c r="D51" s="276">
        <f>E51+F51+H51</f>
        <v>32999.997600000002</v>
      </c>
      <c r="E51" s="276">
        <f>'Раздел II обоснование 2019'!F92</f>
        <v>32999.997600000002</v>
      </c>
      <c r="F51" s="276">
        <v>0</v>
      </c>
      <c r="G51" s="282" t="s">
        <v>51</v>
      </c>
      <c r="H51" s="282">
        <v>0</v>
      </c>
      <c r="I51" s="276"/>
      <c r="J51" s="99"/>
      <c r="K51" s="99"/>
      <c r="L51" s="99"/>
    </row>
    <row r="52" spans="1:12" s="209" customFormat="1" ht="32.25" customHeight="1" thickBot="1" x14ac:dyDescent="0.3">
      <c r="A52" s="91" t="s">
        <v>80</v>
      </c>
      <c r="B52" s="279"/>
      <c r="C52" s="281"/>
      <c r="D52" s="277"/>
      <c r="E52" s="277"/>
      <c r="F52" s="277"/>
      <c r="G52" s="283"/>
      <c r="H52" s="283"/>
      <c r="I52" s="277"/>
      <c r="J52" s="99"/>
      <c r="K52" s="99"/>
      <c r="L52" s="99"/>
    </row>
    <row r="53" spans="1:12" s="209" customFormat="1" ht="33" customHeight="1" thickBot="1" x14ac:dyDescent="0.3">
      <c r="A53" s="91" t="s">
        <v>81</v>
      </c>
      <c r="B53" s="82" t="s">
        <v>288</v>
      </c>
      <c r="C53" s="184">
        <v>244</v>
      </c>
      <c r="D53" s="71">
        <f>E53+F53+G53+H53</f>
        <v>0</v>
      </c>
      <c r="E53" s="71">
        <f>'Раздел II обоснование 2018'!E99</f>
        <v>0</v>
      </c>
      <c r="F53" s="71">
        <v>0</v>
      </c>
      <c r="G53" s="97">
        <v>0</v>
      </c>
      <c r="H53" s="97">
        <v>0</v>
      </c>
      <c r="I53" s="71"/>
      <c r="J53" s="99"/>
      <c r="K53" s="99"/>
      <c r="L53" s="99"/>
    </row>
    <row r="54" spans="1:12" s="209" customFormat="1" ht="32.25" customHeight="1" thickBot="1" x14ac:dyDescent="0.3">
      <c r="A54" s="91" t="s">
        <v>82</v>
      </c>
      <c r="B54" s="82" t="s">
        <v>288</v>
      </c>
      <c r="C54" s="184">
        <v>244</v>
      </c>
      <c r="D54" s="71">
        <f>E54+F54+G54+H54</f>
        <v>4552499.63</v>
      </c>
      <c r="E54" s="71">
        <f>'Раздел II обоснование 2019'!G111</f>
        <v>4552499.63</v>
      </c>
      <c r="F54" s="71">
        <v>0</v>
      </c>
      <c r="G54" s="97">
        <v>0</v>
      </c>
      <c r="H54" s="97">
        <v>0</v>
      </c>
      <c r="I54" s="71"/>
      <c r="J54" s="99"/>
      <c r="K54" s="99"/>
      <c r="L54" s="99"/>
    </row>
    <row r="55" spans="1:12" s="209" customFormat="1" ht="51.75" customHeight="1" thickBot="1" x14ac:dyDescent="0.3">
      <c r="A55" s="91" t="s">
        <v>83</v>
      </c>
      <c r="B55" s="82" t="s">
        <v>289</v>
      </c>
      <c r="C55" s="184">
        <v>244</v>
      </c>
      <c r="D55" s="71">
        <f>E55+F55+H55</f>
        <v>0</v>
      </c>
      <c r="E55" s="71">
        <v>0</v>
      </c>
      <c r="F55" s="71">
        <v>0</v>
      </c>
      <c r="G55" s="97" t="s">
        <v>51</v>
      </c>
      <c r="H55" s="97">
        <v>0</v>
      </c>
      <c r="I55" s="71"/>
      <c r="J55" s="99"/>
      <c r="K55" s="99"/>
      <c r="L55" s="99"/>
    </row>
    <row r="56" spans="1:12" s="209" customFormat="1" ht="48" customHeight="1" thickBot="1" x14ac:dyDescent="0.3">
      <c r="A56" s="91" t="s">
        <v>84</v>
      </c>
      <c r="B56" s="82" t="s">
        <v>290</v>
      </c>
      <c r="C56" s="184">
        <v>244</v>
      </c>
      <c r="D56" s="71">
        <f t="shared" ref="D56:D61" si="0">E56+F56+G56+H56</f>
        <v>1396740</v>
      </c>
      <c r="E56" s="71">
        <f>'Раздел II обоснование 2019'!E141</f>
        <v>1396740</v>
      </c>
      <c r="F56" s="71">
        <v>0</v>
      </c>
      <c r="G56" s="97">
        <v>0</v>
      </c>
      <c r="H56" s="97">
        <v>0</v>
      </c>
      <c r="I56" s="71"/>
      <c r="J56" s="99"/>
      <c r="K56" s="99"/>
      <c r="L56" s="99"/>
    </row>
    <row r="57" spans="1:12" s="209" customFormat="1" ht="34.5" customHeight="1" thickBot="1" x14ac:dyDescent="0.3">
      <c r="A57" s="91" t="s">
        <v>85</v>
      </c>
      <c r="B57" s="82" t="s">
        <v>291</v>
      </c>
      <c r="C57" s="184">
        <v>244</v>
      </c>
      <c r="D57" s="71">
        <f t="shared" si="0"/>
        <v>783300</v>
      </c>
      <c r="E57" s="71">
        <f>'Раздел II обоснование 2019'!D155</f>
        <v>783300</v>
      </c>
      <c r="F57" s="71">
        <v>0</v>
      </c>
      <c r="G57" s="97">
        <v>0</v>
      </c>
      <c r="H57" s="97">
        <v>0</v>
      </c>
      <c r="I57" s="71"/>
      <c r="J57" s="99"/>
      <c r="K57" s="99"/>
      <c r="L57" s="99"/>
    </row>
    <row r="58" spans="1:12" s="209" customFormat="1" ht="51" customHeight="1" thickBot="1" x14ac:dyDescent="0.3">
      <c r="A58" s="91" t="s">
        <v>86</v>
      </c>
      <c r="B58" s="82" t="s">
        <v>292</v>
      </c>
      <c r="C58" s="184">
        <v>244</v>
      </c>
      <c r="D58" s="71">
        <f t="shared" si="0"/>
        <v>820000</v>
      </c>
      <c r="E58" s="71">
        <f>'Раздел II обоснование 2019'!E163</f>
        <v>820000</v>
      </c>
      <c r="F58" s="71">
        <v>0</v>
      </c>
      <c r="G58" s="97">
        <v>0</v>
      </c>
      <c r="H58" s="97">
        <v>0</v>
      </c>
      <c r="I58" s="71"/>
      <c r="J58" s="99"/>
      <c r="K58" s="99"/>
      <c r="L58" s="99"/>
    </row>
    <row r="59" spans="1:12" s="209" customFormat="1" ht="49.5" customHeight="1" thickBot="1" x14ac:dyDescent="0.3">
      <c r="A59" s="91" t="s">
        <v>87</v>
      </c>
      <c r="B59" s="82" t="s">
        <v>293</v>
      </c>
      <c r="C59" s="184">
        <v>244</v>
      </c>
      <c r="D59" s="71">
        <f t="shared" si="0"/>
        <v>8148201.6689938009</v>
      </c>
      <c r="E59" s="71">
        <f>'Раздел II обоснование 2019'!E167</f>
        <v>509400</v>
      </c>
      <c r="F59" s="71">
        <v>0</v>
      </c>
      <c r="G59" s="97">
        <v>0</v>
      </c>
      <c r="H59" s="97">
        <f>'Раздел II обоснование ПДД 2018'!E157</f>
        <v>7638801.6689938009</v>
      </c>
      <c r="I59" s="71"/>
      <c r="J59" s="99"/>
      <c r="K59" s="99"/>
      <c r="L59" s="99"/>
    </row>
    <row r="60" spans="1:12" ht="38.25" thickBot="1" x14ac:dyDescent="0.3">
      <c r="A60" s="46" t="s">
        <v>88</v>
      </c>
      <c r="B60" s="45" t="s">
        <v>294</v>
      </c>
      <c r="C60" s="214">
        <v>500</v>
      </c>
      <c r="D60" s="71">
        <f t="shared" si="0"/>
        <v>63771892.5</v>
      </c>
      <c r="E60" s="71">
        <f>E12</f>
        <v>57523800</v>
      </c>
      <c r="F60" s="71">
        <v>0</v>
      </c>
      <c r="G60" s="97">
        <f>G12</f>
        <v>0</v>
      </c>
      <c r="H60" s="97">
        <f>H12</f>
        <v>6248092.5</v>
      </c>
      <c r="I60" s="97"/>
    </row>
    <row r="61" spans="1:12" ht="38.25" thickBot="1" x14ac:dyDescent="0.3">
      <c r="A61" s="46" t="s">
        <v>89</v>
      </c>
      <c r="B61" s="45" t="s">
        <v>295</v>
      </c>
      <c r="C61" s="214">
        <v>600</v>
      </c>
      <c r="D61" s="71">
        <f t="shared" si="0"/>
        <v>65036840.644012488</v>
      </c>
      <c r="E61" s="97">
        <f>E27</f>
        <v>57398038.975018688</v>
      </c>
      <c r="F61" s="97">
        <v>0</v>
      </c>
      <c r="G61" s="97">
        <f>G27</f>
        <v>0</v>
      </c>
      <c r="H61" s="97">
        <f>H27</f>
        <v>7638801.6689938009</v>
      </c>
      <c r="I61" s="97"/>
    </row>
    <row r="62" spans="1:12" ht="33" customHeight="1" thickBot="1" x14ac:dyDescent="0.3">
      <c r="A62" s="46" t="s">
        <v>90</v>
      </c>
      <c r="B62" s="45" t="s">
        <v>296</v>
      </c>
      <c r="C62" s="214">
        <v>600</v>
      </c>
      <c r="D62" s="20"/>
      <c r="E62" s="97"/>
      <c r="F62" s="97"/>
      <c r="G62" s="97"/>
      <c r="H62" s="97"/>
      <c r="I62" s="97"/>
    </row>
    <row r="63" spans="1:12" x14ac:dyDescent="0.25">
      <c r="E63" s="206">
        <f>E11+E12-E27</f>
        <v>125761.02498131245</v>
      </c>
      <c r="F63" s="206">
        <f>F11+F12-F27</f>
        <v>0</v>
      </c>
      <c r="G63" s="206">
        <f>G11+G12-G27</f>
        <v>0</v>
      </c>
      <c r="H63" s="206">
        <f>H11+H12-H27</f>
        <v>-1390709.1689938009</v>
      </c>
    </row>
    <row r="64" spans="1:12" s="209" customFormat="1" ht="18" customHeight="1" x14ac:dyDescent="0.25">
      <c r="A64" s="200"/>
      <c r="E64" s="206">
        <f>E60-E61</f>
        <v>125761.02498131245</v>
      </c>
      <c r="F64" s="206">
        <f>F60-F61</f>
        <v>0</v>
      </c>
      <c r="G64" s="206">
        <f>G60-G61</f>
        <v>0</v>
      </c>
      <c r="H64" s="206">
        <f>H60-H61</f>
        <v>-1390709.1689938009</v>
      </c>
      <c r="J64" s="99"/>
      <c r="K64" s="99"/>
      <c r="L64" s="99"/>
    </row>
    <row r="65" spans="1:1" ht="18.75" x14ac:dyDescent="0.25">
      <c r="A65" s="200"/>
    </row>
  </sheetData>
  <mergeCells count="102">
    <mergeCell ref="H51:H52"/>
    <mergeCell ref="I51:I52"/>
    <mergeCell ref="B51:B52"/>
    <mergeCell ref="C51:C52"/>
    <mergeCell ref="D51:D52"/>
    <mergeCell ref="E51:E52"/>
    <mergeCell ref="F51:F52"/>
    <mergeCell ref="G51:G52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A6" location="Par1206" display="Par1206"/>
    <hyperlink ref="F8" r:id="rId1" display="consultantplus://offline/ref=EC513630DD0A2F9B2EC0205798B851993A5251D08ECB4308CDDA19182ECC2154EE9666852E0BHBNDC"/>
  </hyperlinks>
  <pageMargins left="0.70866141732283472" right="0.70866141732283472" top="0.74803149606299213" bottom="0.74803149606299213" header="0.31496062992125984" footer="0.31496062992125984"/>
  <pageSetup paperSize="9" scale="43" fitToHeight="2" orientation="portrait" r:id="rId2"/>
  <rowBreaks count="2" manualBreakCount="2">
    <brk id="26" max="8" man="1"/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N65"/>
  <sheetViews>
    <sheetView view="pageBreakPreview" topLeftCell="A64" zoomScale="70" zoomScaleNormal="70" zoomScaleSheetLayoutView="70" zoomScalePageLayoutView="70" workbookViewId="0">
      <selection activeCell="F24" sqref="F24"/>
    </sheetView>
  </sheetViews>
  <sheetFormatPr defaultColWidth="28.85546875" defaultRowHeight="15" x14ac:dyDescent="0.25"/>
  <cols>
    <col min="1" max="1" width="38.85546875" style="93" customWidth="1"/>
    <col min="2" max="2" width="9.5703125" style="93" customWidth="1"/>
    <col min="3" max="3" width="27.7109375" style="93" customWidth="1"/>
    <col min="4" max="4" width="32.140625" style="93" customWidth="1"/>
    <col min="5" max="5" width="21.5703125" style="99" customWidth="1"/>
    <col min="6" max="7" width="18.5703125" style="99" customWidth="1"/>
    <col min="8" max="8" width="17.140625" style="99" customWidth="1"/>
    <col min="9" max="9" width="16.5703125" style="93" customWidth="1"/>
    <col min="10" max="10" width="22.85546875" style="99" customWidth="1"/>
    <col min="11" max="11" width="19.7109375" style="99" customWidth="1"/>
    <col min="12" max="12" width="23.85546875" style="99" customWidth="1"/>
    <col min="13" max="13" width="36.42578125" style="93" customWidth="1"/>
    <col min="14" max="16384" width="28.85546875" style="93"/>
  </cols>
  <sheetData>
    <row r="3" spans="1:13" ht="19.5" customHeight="1" x14ac:dyDescent="0.25">
      <c r="A3" s="268" t="s">
        <v>92</v>
      </c>
      <c r="B3" s="268"/>
      <c r="C3" s="268"/>
      <c r="D3" s="268"/>
      <c r="E3" s="268"/>
      <c r="F3" s="268"/>
      <c r="G3" s="268"/>
      <c r="H3" s="268"/>
      <c r="I3" s="268"/>
    </row>
    <row r="4" spans="1:13" ht="18.75" x14ac:dyDescent="0.25">
      <c r="A4" s="263" t="s">
        <v>416</v>
      </c>
      <c r="B4" s="263"/>
      <c r="C4" s="263"/>
      <c r="D4" s="263"/>
      <c r="E4" s="263"/>
      <c r="F4" s="263"/>
      <c r="G4" s="263"/>
      <c r="H4" s="263"/>
      <c r="I4" s="263"/>
    </row>
    <row r="5" spans="1:13" ht="15.75" thickBot="1" x14ac:dyDescent="0.3">
      <c r="I5" s="93" t="s">
        <v>93</v>
      </c>
    </row>
    <row r="6" spans="1:13" ht="19.5" customHeight="1" thickBot="1" x14ac:dyDescent="0.3">
      <c r="A6" s="300" t="s">
        <v>40</v>
      </c>
      <c r="B6" s="273" t="s">
        <v>41</v>
      </c>
      <c r="C6" s="273" t="s">
        <v>42</v>
      </c>
      <c r="D6" s="304" t="s">
        <v>43</v>
      </c>
      <c r="E6" s="305"/>
      <c r="F6" s="305"/>
      <c r="G6" s="305"/>
      <c r="H6" s="305"/>
      <c r="I6" s="306"/>
    </row>
    <row r="7" spans="1:13" ht="19.5" thickBot="1" x14ac:dyDescent="0.3">
      <c r="A7" s="301"/>
      <c r="B7" s="303"/>
      <c r="C7" s="303"/>
      <c r="D7" s="273" t="s">
        <v>44</v>
      </c>
      <c r="E7" s="304" t="s">
        <v>22</v>
      </c>
      <c r="F7" s="305"/>
      <c r="G7" s="305"/>
      <c r="H7" s="305"/>
      <c r="I7" s="306"/>
    </row>
    <row r="8" spans="1:13" ht="100.5" customHeight="1" thickBot="1" x14ac:dyDescent="0.3">
      <c r="A8" s="301"/>
      <c r="B8" s="303"/>
      <c r="C8" s="303"/>
      <c r="D8" s="303"/>
      <c r="E8" s="307" t="s">
        <v>45</v>
      </c>
      <c r="F8" s="309" t="s">
        <v>46</v>
      </c>
      <c r="G8" s="307" t="s">
        <v>47</v>
      </c>
      <c r="H8" s="304" t="s">
        <v>48</v>
      </c>
      <c r="I8" s="306"/>
    </row>
    <row r="9" spans="1:13" ht="45" customHeight="1" thickBot="1" x14ac:dyDescent="0.3">
      <c r="A9" s="302"/>
      <c r="B9" s="274"/>
      <c r="C9" s="274"/>
      <c r="D9" s="274"/>
      <c r="E9" s="308"/>
      <c r="F9" s="310"/>
      <c r="G9" s="308"/>
      <c r="H9" s="96" t="s">
        <v>44</v>
      </c>
      <c r="I9" s="214" t="s">
        <v>49</v>
      </c>
    </row>
    <row r="10" spans="1:13" ht="19.5" thickBot="1" x14ac:dyDescent="0.3">
      <c r="A10" s="208">
        <v>1</v>
      </c>
      <c r="B10" s="214">
        <v>2</v>
      </c>
      <c r="C10" s="214">
        <v>3</v>
      </c>
      <c r="D10" s="214">
        <v>4</v>
      </c>
      <c r="E10" s="96">
        <v>5</v>
      </c>
      <c r="F10" s="96">
        <v>6</v>
      </c>
      <c r="G10" s="96">
        <v>7</v>
      </c>
      <c r="H10" s="96">
        <v>8</v>
      </c>
      <c r="I10" s="214">
        <v>9</v>
      </c>
    </row>
    <row r="11" spans="1:13" s="143" customFormat="1" ht="48.75" customHeight="1" thickBot="1" x14ac:dyDescent="0.3">
      <c r="A11" s="59" t="s">
        <v>50</v>
      </c>
      <c r="B11" s="60" t="s">
        <v>252</v>
      </c>
      <c r="C11" s="61" t="s">
        <v>51</v>
      </c>
      <c r="D11" s="62">
        <f>E11+F11+G11+H11</f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146"/>
      <c r="K11" s="146"/>
      <c r="L11" s="146"/>
      <c r="M11" s="143" t="s">
        <v>258</v>
      </c>
    </row>
    <row r="12" spans="1:13" s="143" customFormat="1" ht="47.25" customHeight="1" thickBot="1" x14ac:dyDescent="0.3">
      <c r="A12" s="59" t="s">
        <v>52</v>
      </c>
      <c r="B12" s="60" t="s">
        <v>253</v>
      </c>
      <c r="C12" s="61" t="s">
        <v>51</v>
      </c>
      <c r="D12" s="62">
        <f>D13+D17+D20+D25+D26</f>
        <v>63771892.5</v>
      </c>
      <c r="E12" s="62">
        <f>E17</f>
        <v>57523800</v>
      </c>
      <c r="F12" s="62">
        <f>F25</f>
        <v>0</v>
      </c>
      <c r="G12" s="62">
        <f>G25</f>
        <v>0</v>
      </c>
      <c r="H12" s="62">
        <f>H13+H17+H20+H24+H26</f>
        <v>6248092.5</v>
      </c>
      <c r="I12" s="62">
        <v>0</v>
      </c>
      <c r="J12" s="146"/>
      <c r="K12" s="146"/>
      <c r="L12" s="146"/>
      <c r="M12" s="144"/>
    </row>
    <row r="13" spans="1:13" s="47" customFormat="1" ht="18.75" customHeight="1" x14ac:dyDescent="0.25">
      <c r="A13" s="285" t="s">
        <v>259</v>
      </c>
      <c r="B13" s="294" t="s">
        <v>254</v>
      </c>
      <c r="C13" s="298">
        <v>120</v>
      </c>
      <c r="D13" s="292">
        <f>D15</f>
        <v>0</v>
      </c>
      <c r="E13" s="290" t="s">
        <v>51</v>
      </c>
      <c r="F13" s="290" t="s">
        <v>51</v>
      </c>
      <c r="G13" s="290" t="s">
        <v>51</v>
      </c>
      <c r="H13" s="290">
        <f>H15</f>
        <v>0</v>
      </c>
      <c r="I13" s="292" t="s">
        <v>51</v>
      </c>
      <c r="J13" s="147"/>
      <c r="K13" s="147"/>
      <c r="L13" s="147"/>
      <c r="M13" s="275" t="s">
        <v>260</v>
      </c>
    </row>
    <row r="14" spans="1:13" s="47" customFormat="1" ht="30.75" customHeight="1" thickBot="1" x14ac:dyDescent="0.3">
      <c r="A14" s="286"/>
      <c r="B14" s="295"/>
      <c r="C14" s="299"/>
      <c r="D14" s="293"/>
      <c r="E14" s="291"/>
      <c r="F14" s="291"/>
      <c r="G14" s="291"/>
      <c r="H14" s="291"/>
      <c r="I14" s="293"/>
      <c r="J14" s="147"/>
      <c r="K14" s="147"/>
      <c r="L14" s="147"/>
      <c r="M14" s="275"/>
    </row>
    <row r="15" spans="1:13" ht="18.75" customHeight="1" x14ac:dyDescent="0.25">
      <c r="A15" s="16" t="s">
        <v>4</v>
      </c>
      <c r="B15" s="296" t="s">
        <v>255</v>
      </c>
      <c r="C15" s="273">
        <v>120</v>
      </c>
      <c r="D15" s="271">
        <f>H15</f>
        <v>0</v>
      </c>
      <c r="E15" s="282" t="s">
        <v>51</v>
      </c>
      <c r="F15" s="282" t="s">
        <v>51</v>
      </c>
      <c r="G15" s="282" t="s">
        <v>51</v>
      </c>
      <c r="H15" s="282">
        <v>0</v>
      </c>
      <c r="I15" s="271" t="s">
        <v>51</v>
      </c>
      <c r="M15" s="275"/>
    </row>
    <row r="16" spans="1:13" ht="145.5" customHeight="1" thickBot="1" x14ac:dyDescent="0.3">
      <c r="A16" s="17" t="s">
        <v>53</v>
      </c>
      <c r="B16" s="297"/>
      <c r="C16" s="274"/>
      <c r="D16" s="272"/>
      <c r="E16" s="283"/>
      <c r="F16" s="283"/>
      <c r="G16" s="283"/>
      <c r="H16" s="283"/>
      <c r="I16" s="272"/>
      <c r="M16" s="275"/>
    </row>
    <row r="17" spans="1:14" s="52" customFormat="1" ht="89.25" customHeight="1" thickBot="1" x14ac:dyDescent="0.3">
      <c r="A17" s="48" t="s">
        <v>54</v>
      </c>
      <c r="B17" s="49" t="s">
        <v>256</v>
      </c>
      <c r="C17" s="50">
        <v>130</v>
      </c>
      <c r="D17" s="51">
        <f>D18</f>
        <v>57523800</v>
      </c>
      <c r="E17" s="139">
        <f>E18</f>
        <v>57523800</v>
      </c>
      <c r="F17" s="139" t="s">
        <v>51</v>
      </c>
      <c r="G17" s="139" t="s">
        <v>51</v>
      </c>
      <c r="H17" s="139">
        <f>H18</f>
        <v>0</v>
      </c>
      <c r="I17" s="51">
        <f>I18</f>
        <v>0</v>
      </c>
      <c r="J17" s="147"/>
      <c r="K17" s="147"/>
      <c r="L17" s="147"/>
      <c r="M17" s="52" t="s">
        <v>261</v>
      </c>
      <c r="N17" s="53">
        <f>E17-E27</f>
        <v>135629.06113795936</v>
      </c>
    </row>
    <row r="18" spans="1:14" ht="18.75" x14ac:dyDescent="0.25">
      <c r="A18" s="16" t="s">
        <v>55</v>
      </c>
      <c r="B18" s="296" t="s">
        <v>257</v>
      </c>
      <c r="C18" s="273">
        <v>130</v>
      </c>
      <c r="D18" s="271">
        <f>E18+H18</f>
        <v>57523800</v>
      </c>
      <c r="E18" s="282">
        <v>57523800</v>
      </c>
      <c r="F18" s="282" t="s">
        <v>51</v>
      </c>
      <c r="G18" s="282" t="s">
        <v>51</v>
      </c>
      <c r="H18" s="282">
        <v>0</v>
      </c>
      <c r="I18" s="271">
        <v>0</v>
      </c>
    </row>
    <row r="19" spans="1:14" ht="75.75" thickBot="1" x14ac:dyDescent="0.3">
      <c r="A19" s="17" t="s">
        <v>56</v>
      </c>
      <c r="B19" s="297"/>
      <c r="C19" s="274"/>
      <c r="D19" s="272"/>
      <c r="E19" s="283"/>
      <c r="F19" s="283"/>
      <c r="G19" s="283"/>
      <c r="H19" s="283"/>
      <c r="I19" s="272"/>
    </row>
    <row r="20" spans="1:14" s="52" customFormat="1" ht="57" thickBot="1" x14ac:dyDescent="0.3">
      <c r="A20" s="48" t="s">
        <v>57</v>
      </c>
      <c r="B20" s="49" t="s">
        <v>262</v>
      </c>
      <c r="C20" s="50">
        <v>130</v>
      </c>
      <c r="D20" s="51">
        <f>D21+D23+D24</f>
        <v>6248092.5</v>
      </c>
      <c r="E20" s="139" t="s">
        <v>51</v>
      </c>
      <c r="F20" s="139" t="s">
        <v>51</v>
      </c>
      <c r="G20" s="139" t="s">
        <v>51</v>
      </c>
      <c r="H20" s="139">
        <f>H23</f>
        <v>6248092.5</v>
      </c>
      <c r="I20" s="51">
        <v>0</v>
      </c>
      <c r="J20" s="147"/>
      <c r="K20" s="147"/>
      <c r="L20" s="147"/>
    </row>
    <row r="21" spans="1:14" ht="18.75" x14ac:dyDescent="0.25">
      <c r="A21" s="16" t="s">
        <v>22</v>
      </c>
      <c r="B21" s="296" t="s">
        <v>263</v>
      </c>
      <c r="C21" s="273">
        <v>130</v>
      </c>
      <c r="D21" s="271">
        <f>H21</f>
        <v>0</v>
      </c>
      <c r="E21" s="282" t="s">
        <v>51</v>
      </c>
      <c r="F21" s="282" t="s">
        <v>51</v>
      </c>
      <c r="G21" s="282" t="s">
        <v>51</v>
      </c>
      <c r="H21" s="282">
        <v>0</v>
      </c>
      <c r="I21" s="276">
        <v>0</v>
      </c>
    </row>
    <row r="22" spans="1:14" ht="38.25" thickBot="1" x14ac:dyDescent="0.3">
      <c r="A22" s="17" t="s">
        <v>58</v>
      </c>
      <c r="B22" s="297"/>
      <c r="C22" s="274"/>
      <c r="D22" s="272"/>
      <c r="E22" s="283"/>
      <c r="F22" s="283"/>
      <c r="G22" s="283"/>
      <c r="H22" s="283"/>
      <c r="I22" s="277"/>
    </row>
    <row r="23" spans="1:14" ht="28.5" customHeight="1" thickBot="1" x14ac:dyDescent="0.3">
      <c r="A23" s="17" t="s">
        <v>59</v>
      </c>
      <c r="B23" s="45" t="s">
        <v>264</v>
      </c>
      <c r="C23" s="214">
        <v>130</v>
      </c>
      <c r="D23" s="20">
        <f>H23</f>
        <v>6248092.5</v>
      </c>
      <c r="E23" s="97" t="s">
        <v>51</v>
      </c>
      <c r="F23" s="97" t="s">
        <v>51</v>
      </c>
      <c r="G23" s="97" t="s">
        <v>51</v>
      </c>
      <c r="H23" s="97">
        <v>6248092.5</v>
      </c>
      <c r="I23" s="20">
        <v>0</v>
      </c>
    </row>
    <row r="24" spans="1:14" ht="57" thickBot="1" x14ac:dyDescent="0.3">
      <c r="A24" s="17" t="s">
        <v>60</v>
      </c>
      <c r="B24" s="45" t="s">
        <v>265</v>
      </c>
      <c r="C24" s="214">
        <v>140</v>
      </c>
      <c r="D24" s="20">
        <f>H24</f>
        <v>0</v>
      </c>
      <c r="E24" s="97" t="s">
        <v>51</v>
      </c>
      <c r="F24" s="97" t="s">
        <v>51</v>
      </c>
      <c r="G24" s="97" t="s">
        <v>51</v>
      </c>
      <c r="H24" s="97">
        <v>0</v>
      </c>
      <c r="I24" s="20" t="s">
        <v>51</v>
      </c>
    </row>
    <row r="25" spans="1:14" s="52" customFormat="1" ht="57" thickBot="1" x14ac:dyDescent="0.3">
      <c r="A25" s="48" t="s">
        <v>61</v>
      </c>
      <c r="B25" s="49" t="s">
        <v>266</v>
      </c>
      <c r="C25" s="50">
        <v>180</v>
      </c>
      <c r="D25" s="51">
        <f>F25+G25</f>
        <v>0</v>
      </c>
      <c r="E25" s="139" t="s">
        <v>51</v>
      </c>
      <c r="F25" s="139">
        <v>0</v>
      </c>
      <c r="G25" s="139">
        <v>0</v>
      </c>
      <c r="H25" s="139" t="s">
        <v>51</v>
      </c>
      <c r="I25" s="51" t="s">
        <v>51</v>
      </c>
      <c r="J25" s="147"/>
      <c r="K25" s="147"/>
      <c r="L25" s="147"/>
    </row>
    <row r="26" spans="1:14" s="52" customFormat="1" ht="43.5" customHeight="1" thickBot="1" x14ac:dyDescent="0.3">
      <c r="A26" s="54" t="s">
        <v>62</v>
      </c>
      <c r="B26" s="49" t="s">
        <v>268</v>
      </c>
      <c r="C26" s="50">
        <v>180</v>
      </c>
      <c r="D26" s="51">
        <f>H26</f>
        <v>0</v>
      </c>
      <c r="E26" s="139" t="s">
        <v>51</v>
      </c>
      <c r="F26" s="139" t="s">
        <v>51</v>
      </c>
      <c r="G26" s="139" t="s">
        <v>51</v>
      </c>
      <c r="H26" s="139">
        <v>0</v>
      </c>
      <c r="I26" s="51">
        <v>0</v>
      </c>
      <c r="J26" s="147"/>
      <c r="K26" s="147"/>
      <c r="L26" s="147"/>
    </row>
    <row r="27" spans="1:14" s="145" customFormat="1" ht="53.25" customHeight="1" thickBot="1" x14ac:dyDescent="0.3">
      <c r="A27" s="55" t="s">
        <v>63</v>
      </c>
      <c r="B27" s="56" t="s">
        <v>269</v>
      </c>
      <c r="C27" s="57" t="s">
        <v>51</v>
      </c>
      <c r="D27" s="58">
        <f>D28+D34+D37+D43+D47</f>
        <v>65026972.607855842</v>
      </c>
      <c r="E27" s="58">
        <f>E28+E34+E37+E43+E47</f>
        <v>57388170.938862041</v>
      </c>
      <c r="F27" s="58">
        <f>F28+F34+F37+F43+F47</f>
        <v>0</v>
      </c>
      <c r="G27" s="58">
        <f>G28+G34+G37+G43+G47</f>
        <v>0</v>
      </c>
      <c r="H27" s="58">
        <f>H28+H34+H37+H43+H47</f>
        <v>7638801.6689938009</v>
      </c>
      <c r="I27" s="58"/>
      <c r="J27" s="148"/>
      <c r="K27" s="148"/>
      <c r="L27" s="148"/>
      <c r="M27" s="145" t="s">
        <v>267</v>
      </c>
    </row>
    <row r="28" spans="1:14" s="209" customFormat="1" ht="18.75" x14ac:dyDescent="0.25">
      <c r="A28" s="78" t="s">
        <v>22</v>
      </c>
      <c r="B28" s="294" t="s">
        <v>270</v>
      </c>
      <c r="C28" s="298">
        <v>100</v>
      </c>
      <c r="D28" s="292">
        <f>D30+D32+D33</f>
        <v>47680823.936062038</v>
      </c>
      <c r="E28" s="290">
        <f>E30+E32+E33</f>
        <v>47680823.936062038</v>
      </c>
      <c r="F28" s="290">
        <v>0</v>
      </c>
      <c r="G28" s="290">
        <f>G30+G32+G33</f>
        <v>0</v>
      </c>
      <c r="H28" s="290">
        <f>H30+H32+H33</f>
        <v>0</v>
      </c>
      <c r="I28" s="292"/>
      <c r="J28" s="99"/>
      <c r="K28" s="99"/>
      <c r="L28" s="99"/>
    </row>
    <row r="29" spans="1:14" s="209" customFormat="1" ht="38.25" thickBot="1" x14ac:dyDescent="0.3">
      <c r="A29" s="211" t="s">
        <v>64</v>
      </c>
      <c r="B29" s="295"/>
      <c r="C29" s="299"/>
      <c r="D29" s="293"/>
      <c r="E29" s="291"/>
      <c r="F29" s="291"/>
      <c r="G29" s="291"/>
      <c r="H29" s="291"/>
      <c r="I29" s="293"/>
      <c r="J29" s="99"/>
      <c r="K29" s="99"/>
      <c r="L29" s="99"/>
      <c r="M29" s="79"/>
    </row>
    <row r="30" spans="1:14" s="209" customFormat="1" ht="18.75" x14ac:dyDescent="0.25">
      <c r="A30" s="80" t="s">
        <v>4</v>
      </c>
      <c r="B30" s="288" t="s">
        <v>271</v>
      </c>
      <c r="C30" s="289">
        <v>111</v>
      </c>
      <c r="D30" s="276">
        <f>E30+F30+G30+H30</f>
        <v>36283639.236062035</v>
      </c>
      <c r="E30" s="276">
        <f>'Раздел II обоснование 2020'!J28</f>
        <v>36283639.236062035</v>
      </c>
      <c r="F30" s="282">
        <v>0</v>
      </c>
      <c r="G30" s="282">
        <v>0</v>
      </c>
      <c r="H30" s="282">
        <v>0</v>
      </c>
      <c r="I30" s="276"/>
      <c r="J30" s="99"/>
      <c r="K30" s="99"/>
      <c r="L30" s="99"/>
    </row>
    <row r="31" spans="1:14" s="209" customFormat="1" ht="19.5" thickBot="1" x14ac:dyDescent="0.3">
      <c r="A31" s="81" t="s">
        <v>65</v>
      </c>
      <c r="B31" s="279"/>
      <c r="C31" s="281"/>
      <c r="D31" s="277"/>
      <c r="E31" s="277"/>
      <c r="F31" s="283"/>
      <c r="G31" s="283"/>
      <c r="H31" s="283"/>
      <c r="I31" s="277"/>
      <c r="J31" s="99"/>
      <c r="K31" s="99"/>
      <c r="L31" s="99"/>
    </row>
    <row r="32" spans="1:14" s="209" customFormat="1" ht="68.25" customHeight="1" thickBot="1" x14ac:dyDescent="0.3">
      <c r="A32" s="69" t="s">
        <v>66</v>
      </c>
      <c r="B32" s="82" t="s">
        <v>272</v>
      </c>
      <c r="C32" s="184">
        <v>112</v>
      </c>
      <c r="D32" s="71">
        <f>E32+F32+G32+H32</f>
        <v>7560</v>
      </c>
      <c r="E32" s="97">
        <f>'Раздел II обоснование 2020'!F43</f>
        <v>7560</v>
      </c>
      <c r="F32" s="97">
        <v>0</v>
      </c>
      <c r="G32" s="97">
        <v>0</v>
      </c>
      <c r="H32" s="97">
        <v>0</v>
      </c>
      <c r="I32" s="71"/>
      <c r="J32" s="99"/>
      <c r="K32" s="99"/>
      <c r="L32" s="99"/>
    </row>
    <row r="33" spans="1:14" s="209" customFormat="1" ht="117" customHeight="1" thickBot="1" x14ac:dyDescent="0.3">
      <c r="A33" s="69" t="s">
        <v>67</v>
      </c>
      <c r="B33" s="82" t="s">
        <v>273</v>
      </c>
      <c r="C33" s="184">
        <v>119</v>
      </c>
      <c r="D33" s="71">
        <f>E33+F33+G33+H33</f>
        <v>11389624.699999999</v>
      </c>
      <c r="E33" s="71">
        <f>'Раздел II обоснование 2020'!D55</f>
        <v>11389624.699999999</v>
      </c>
      <c r="F33" s="97">
        <v>0</v>
      </c>
      <c r="G33" s="97">
        <v>0</v>
      </c>
      <c r="H33" s="97">
        <v>0</v>
      </c>
      <c r="I33" s="71"/>
      <c r="J33" s="99"/>
      <c r="K33" s="99"/>
      <c r="L33" s="99"/>
    </row>
    <row r="34" spans="1:14" s="209" customFormat="1" ht="47.25" customHeight="1" thickBot="1" x14ac:dyDescent="0.3">
      <c r="A34" s="83" t="s">
        <v>68</v>
      </c>
      <c r="B34" s="84" t="s">
        <v>274</v>
      </c>
      <c r="C34" s="85">
        <v>300</v>
      </c>
      <c r="D34" s="86">
        <f>D35</f>
        <v>0</v>
      </c>
      <c r="E34" s="139">
        <f>E35</f>
        <v>0</v>
      </c>
      <c r="F34" s="139">
        <f>F35</f>
        <v>0</v>
      </c>
      <c r="G34" s="139">
        <f>G35</f>
        <v>0</v>
      </c>
      <c r="H34" s="139">
        <f>H35</f>
        <v>0</v>
      </c>
      <c r="I34" s="86"/>
      <c r="J34" s="99"/>
      <c r="K34" s="99"/>
      <c r="L34" s="99"/>
    </row>
    <row r="35" spans="1:14" s="209" customFormat="1" ht="18.75" x14ac:dyDescent="0.25">
      <c r="A35" s="87" t="s">
        <v>4</v>
      </c>
      <c r="B35" s="288" t="s">
        <v>275</v>
      </c>
      <c r="C35" s="289">
        <v>321</v>
      </c>
      <c r="D35" s="276">
        <f>E35+F35+G35+H35</f>
        <v>0</v>
      </c>
      <c r="E35" s="282">
        <v>0</v>
      </c>
      <c r="F35" s="282">
        <v>0</v>
      </c>
      <c r="G35" s="282">
        <v>0</v>
      </c>
      <c r="H35" s="282">
        <v>0</v>
      </c>
      <c r="I35" s="276"/>
      <c r="J35" s="99"/>
      <c r="K35" s="99"/>
      <c r="L35" s="99"/>
    </row>
    <row r="36" spans="1:14" s="209" customFormat="1" ht="75.75" thickBot="1" x14ac:dyDescent="0.3">
      <c r="A36" s="69" t="s">
        <v>69</v>
      </c>
      <c r="B36" s="279"/>
      <c r="C36" s="281"/>
      <c r="D36" s="277"/>
      <c r="E36" s="283"/>
      <c r="F36" s="283"/>
      <c r="G36" s="283"/>
      <c r="H36" s="283"/>
      <c r="I36" s="277"/>
      <c r="J36" s="99"/>
      <c r="K36" s="99"/>
      <c r="L36" s="99"/>
    </row>
    <row r="37" spans="1:14" s="209" customFormat="1" ht="53.25" customHeight="1" thickBot="1" x14ac:dyDescent="0.3">
      <c r="A37" s="83" t="s">
        <v>70</v>
      </c>
      <c r="B37" s="84" t="s">
        <v>276</v>
      </c>
      <c r="C37" s="85">
        <v>850</v>
      </c>
      <c r="D37" s="86">
        <f>D38+D40+D41+D42</f>
        <v>1434991.9952000002</v>
      </c>
      <c r="E37" s="139">
        <f>E38+E40+E41+E42</f>
        <v>1434991.9952000002</v>
      </c>
      <c r="F37" s="139">
        <f>F38+F40+F41+F42</f>
        <v>0</v>
      </c>
      <c r="G37" s="139">
        <f>G40</f>
        <v>0</v>
      </c>
      <c r="H37" s="139">
        <f>H38+H40+H41+H42</f>
        <v>0</v>
      </c>
      <c r="I37" s="86"/>
      <c r="J37" s="99"/>
      <c r="K37" s="99"/>
      <c r="L37" s="99"/>
    </row>
    <row r="38" spans="1:14" s="209" customFormat="1" ht="18.75" x14ac:dyDescent="0.25">
      <c r="A38" s="87" t="s">
        <v>4</v>
      </c>
      <c r="B38" s="288" t="s">
        <v>277</v>
      </c>
      <c r="C38" s="289">
        <v>851</v>
      </c>
      <c r="D38" s="276">
        <f>E38+F38+H38</f>
        <v>826235.7202000001</v>
      </c>
      <c r="E38" s="276">
        <f>'Раздел II обоснование 2020'!E77</f>
        <v>826235.7202000001</v>
      </c>
      <c r="F38" s="282">
        <v>0</v>
      </c>
      <c r="G38" s="282" t="s">
        <v>51</v>
      </c>
      <c r="H38" s="282">
        <v>0</v>
      </c>
      <c r="I38" s="276"/>
      <c r="J38" s="99"/>
      <c r="K38" s="99"/>
      <c r="L38" s="99"/>
    </row>
    <row r="39" spans="1:14" s="209" customFormat="1" ht="19.5" thickBot="1" x14ac:dyDescent="0.3">
      <c r="A39" s="69" t="s">
        <v>91</v>
      </c>
      <c r="B39" s="279"/>
      <c r="C39" s="281"/>
      <c r="D39" s="277"/>
      <c r="E39" s="277"/>
      <c r="F39" s="283"/>
      <c r="G39" s="283"/>
      <c r="H39" s="283"/>
      <c r="I39" s="277"/>
      <c r="J39" s="99"/>
      <c r="K39" s="99"/>
      <c r="L39" s="99"/>
    </row>
    <row r="40" spans="1:14" s="209" customFormat="1" ht="34.5" customHeight="1" thickBot="1" x14ac:dyDescent="0.3">
      <c r="A40" s="88" t="s">
        <v>71</v>
      </c>
      <c r="B40" s="82" t="s">
        <v>278</v>
      </c>
      <c r="C40" s="184">
        <v>851</v>
      </c>
      <c r="D40" s="71">
        <f>E40+F40+G40+H40</f>
        <v>508756.27500000002</v>
      </c>
      <c r="E40" s="97">
        <f>'Раздел II обоснование 2020'!E78</f>
        <v>508756.27500000002</v>
      </c>
      <c r="F40" s="97">
        <v>0</v>
      </c>
      <c r="G40" s="97">
        <v>0</v>
      </c>
      <c r="H40" s="97">
        <v>0</v>
      </c>
      <c r="I40" s="71"/>
      <c r="J40" s="99"/>
      <c r="K40" s="99"/>
      <c r="L40" s="99"/>
    </row>
    <row r="41" spans="1:14" s="209" customFormat="1" ht="60" customHeight="1" thickBot="1" x14ac:dyDescent="0.3">
      <c r="A41" s="69" t="s">
        <v>72</v>
      </c>
      <c r="B41" s="82" t="s">
        <v>279</v>
      </c>
      <c r="C41" s="184">
        <v>852</v>
      </c>
      <c r="D41" s="71">
        <f>E41+F41+H41</f>
        <v>0</v>
      </c>
      <c r="E41" s="97">
        <v>0</v>
      </c>
      <c r="F41" s="97">
        <v>0</v>
      </c>
      <c r="G41" s="97" t="s">
        <v>51</v>
      </c>
      <c r="H41" s="97">
        <v>0</v>
      </c>
      <c r="I41" s="71"/>
      <c r="J41" s="99"/>
      <c r="K41" s="99"/>
      <c r="L41" s="99"/>
    </row>
    <row r="42" spans="1:14" s="209" customFormat="1" ht="51.75" customHeight="1" thickBot="1" x14ac:dyDescent="0.3">
      <c r="A42" s="69" t="s">
        <v>73</v>
      </c>
      <c r="B42" s="82" t="s">
        <v>280</v>
      </c>
      <c r="C42" s="184">
        <v>853</v>
      </c>
      <c r="D42" s="71">
        <f>E42+F42+H42</f>
        <v>100000</v>
      </c>
      <c r="E42" s="97">
        <f>'Раздел II обоснование 2018'!E79</f>
        <v>100000</v>
      </c>
      <c r="F42" s="97">
        <v>0</v>
      </c>
      <c r="G42" s="97" t="s">
        <v>51</v>
      </c>
      <c r="H42" s="97">
        <f>'Раздел II обоснование ПДД 2018'!E76</f>
        <v>0</v>
      </c>
      <c r="I42" s="71"/>
      <c r="J42" s="99"/>
      <c r="K42" s="99"/>
      <c r="L42" s="99"/>
    </row>
    <row r="43" spans="1:14" s="47" customFormat="1" ht="57" thickBot="1" x14ac:dyDescent="0.3">
      <c r="A43" s="83" t="s">
        <v>74</v>
      </c>
      <c r="B43" s="84" t="s">
        <v>281</v>
      </c>
      <c r="C43" s="85">
        <v>400</v>
      </c>
      <c r="D43" s="86">
        <f>D44+D46</f>
        <v>0</v>
      </c>
      <c r="E43" s="139">
        <f>E44+E46</f>
        <v>0</v>
      </c>
      <c r="F43" s="139">
        <f>F44+F46</f>
        <v>0</v>
      </c>
      <c r="G43" s="139">
        <f>G44+G46</f>
        <v>0</v>
      </c>
      <c r="H43" s="139">
        <f>H44+H46</f>
        <v>0</v>
      </c>
      <c r="I43" s="86"/>
      <c r="J43" s="147"/>
      <c r="K43" s="147"/>
      <c r="L43" s="147"/>
    </row>
    <row r="44" spans="1:14" s="209" customFormat="1" ht="18.75" x14ac:dyDescent="0.25">
      <c r="A44" s="80" t="s">
        <v>4</v>
      </c>
      <c r="B44" s="288" t="s">
        <v>282</v>
      </c>
      <c r="C44" s="289">
        <v>416</v>
      </c>
      <c r="D44" s="276">
        <f>E44+F44+G44+H44</f>
        <v>0</v>
      </c>
      <c r="E44" s="282">
        <v>0</v>
      </c>
      <c r="F44" s="282">
        <v>0</v>
      </c>
      <c r="G44" s="282">
        <v>0</v>
      </c>
      <c r="H44" s="282">
        <v>0</v>
      </c>
      <c r="I44" s="276"/>
      <c r="J44" s="99"/>
      <c r="K44" s="99"/>
      <c r="L44" s="99"/>
    </row>
    <row r="45" spans="1:14" s="209" customFormat="1" ht="97.5" customHeight="1" thickBot="1" x14ac:dyDescent="0.3">
      <c r="A45" s="88" t="s">
        <v>75</v>
      </c>
      <c r="B45" s="279"/>
      <c r="C45" s="281"/>
      <c r="D45" s="277"/>
      <c r="E45" s="283"/>
      <c r="F45" s="283"/>
      <c r="G45" s="283"/>
      <c r="H45" s="283"/>
      <c r="I45" s="277"/>
      <c r="J45" s="99"/>
      <c r="K45" s="99"/>
      <c r="L45" s="99"/>
    </row>
    <row r="46" spans="1:14" s="209" customFormat="1" ht="93.75" x14ac:dyDescent="0.25">
      <c r="A46" s="165" t="s">
        <v>76</v>
      </c>
      <c r="B46" s="166" t="s">
        <v>283</v>
      </c>
      <c r="C46" s="167">
        <v>417</v>
      </c>
      <c r="D46" s="168">
        <f>E46+F46+G46+H46</f>
        <v>0</v>
      </c>
      <c r="E46" s="169">
        <v>0</v>
      </c>
      <c r="F46" s="169">
        <v>0</v>
      </c>
      <c r="G46" s="169">
        <v>0</v>
      </c>
      <c r="H46" s="169">
        <v>0</v>
      </c>
      <c r="I46" s="168"/>
      <c r="J46" s="99"/>
      <c r="K46" s="99"/>
      <c r="L46" s="99"/>
    </row>
    <row r="47" spans="1:14" s="47" customFormat="1" ht="58.5" customHeight="1" x14ac:dyDescent="0.25">
      <c r="A47" s="160" t="s">
        <v>77</v>
      </c>
      <c r="B47" s="161" t="s">
        <v>284</v>
      </c>
      <c r="C47" s="162">
        <v>200</v>
      </c>
      <c r="D47" s="163">
        <f>D48+D50</f>
        <v>15911156.676593801</v>
      </c>
      <c r="E47" s="164">
        <f>E48+E50</f>
        <v>8272355.0076000001</v>
      </c>
      <c r="F47" s="164">
        <f>F48+F50</f>
        <v>0</v>
      </c>
      <c r="G47" s="164">
        <f>G48+G50</f>
        <v>0</v>
      </c>
      <c r="H47" s="164">
        <f>H48+H50</f>
        <v>7638801.6689938009</v>
      </c>
      <c r="I47" s="163"/>
      <c r="J47" s="147"/>
      <c r="K47" s="147"/>
      <c r="L47" s="147"/>
      <c r="M47" s="47" t="s">
        <v>299</v>
      </c>
      <c r="N47" s="89"/>
    </row>
    <row r="48" spans="1:14" s="209" customFormat="1" ht="18.75" x14ac:dyDescent="0.25">
      <c r="A48" s="159" t="s">
        <v>4</v>
      </c>
      <c r="B48" s="278" t="s">
        <v>285</v>
      </c>
      <c r="C48" s="280">
        <v>243</v>
      </c>
      <c r="D48" s="284">
        <f>E48+F48+G48+H48</f>
        <v>0</v>
      </c>
      <c r="E48" s="284">
        <v>0</v>
      </c>
      <c r="F48" s="284">
        <v>0</v>
      </c>
      <c r="G48" s="287">
        <v>0</v>
      </c>
      <c r="H48" s="287">
        <v>0</v>
      </c>
      <c r="I48" s="284"/>
      <c r="J48" s="99"/>
      <c r="K48" s="99"/>
      <c r="L48" s="99"/>
      <c r="N48" s="79"/>
    </row>
    <row r="49" spans="1:12" s="209" customFormat="1" ht="57" thickBot="1" x14ac:dyDescent="0.3">
      <c r="A49" s="81" t="s">
        <v>78</v>
      </c>
      <c r="B49" s="279"/>
      <c r="C49" s="281"/>
      <c r="D49" s="277"/>
      <c r="E49" s="277"/>
      <c r="F49" s="277"/>
      <c r="G49" s="283"/>
      <c r="H49" s="283"/>
      <c r="I49" s="277"/>
      <c r="J49" s="99"/>
      <c r="K49" s="99"/>
      <c r="L49" s="99"/>
    </row>
    <row r="50" spans="1:12" s="209" customFormat="1" ht="57" customHeight="1" thickBot="1" x14ac:dyDescent="0.3">
      <c r="A50" s="81" t="s">
        <v>79</v>
      </c>
      <c r="B50" s="82" t="s">
        <v>286</v>
      </c>
      <c r="C50" s="184">
        <v>244</v>
      </c>
      <c r="D50" s="71">
        <f>D51+D53+D54+D55+D56+D57+D58+D59</f>
        <v>15911156.676593801</v>
      </c>
      <c r="E50" s="71">
        <f>E51+E53+E54+E55+E56+E57+E58+E59</f>
        <v>8272355.0076000001</v>
      </c>
      <c r="F50" s="71">
        <f>F51+F53+F54+F55+F56+F57+F58+F59</f>
        <v>0</v>
      </c>
      <c r="G50" s="97">
        <f>G53+G54+G56+G57+G58+G59</f>
        <v>0</v>
      </c>
      <c r="H50" s="97">
        <f>H51+H53+H54+H55+H56+H57+H58+H59</f>
        <v>7638801.6689938009</v>
      </c>
      <c r="I50" s="71"/>
      <c r="J50" s="99"/>
      <c r="K50" s="99"/>
      <c r="L50" s="99"/>
    </row>
    <row r="51" spans="1:12" s="209" customFormat="1" ht="18.75" x14ac:dyDescent="0.25">
      <c r="A51" s="90" t="s">
        <v>4</v>
      </c>
      <c r="B51" s="288" t="s">
        <v>287</v>
      </c>
      <c r="C51" s="289">
        <v>244</v>
      </c>
      <c r="D51" s="276">
        <f>E51+F51+H51</f>
        <v>32999.997600000002</v>
      </c>
      <c r="E51" s="276">
        <f>'Раздел II обоснование 2020'!F92</f>
        <v>32999.997600000002</v>
      </c>
      <c r="F51" s="276">
        <v>0</v>
      </c>
      <c r="G51" s="282" t="s">
        <v>51</v>
      </c>
      <c r="H51" s="282">
        <v>0</v>
      </c>
      <c r="I51" s="276"/>
      <c r="J51" s="99"/>
      <c r="K51" s="99"/>
      <c r="L51" s="99"/>
    </row>
    <row r="52" spans="1:12" s="209" customFormat="1" ht="32.25" customHeight="1" thickBot="1" x14ac:dyDescent="0.3">
      <c r="A52" s="91" t="s">
        <v>80</v>
      </c>
      <c r="B52" s="279"/>
      <c r="C52" s="281"/>
      <c r="D52" s="277"/>
      <c r="E52" s="277"/>
      <c r="F52" s="277"/>
      <c r="G52" s="283"/>
      <c r="H52" s="283"/>
      <c r="I52" s="277"/>
      <c r="J52" s="99"/>
      <c r="K52" s="99"/>
      <c r="L52" s="99"/>
    </row>
    <row r="53" spans="1:12" s="209" customFormat="1" ht="33" customHeight="1" thickBot="1" x14ac:dyDescent="0.3">
      <c r="A53" s="91" t="s">
        <v>81</v>
      </c>
      <c r="B53" s="82" t="s">
        <v>288</v>
      </c>
      <c r="C53" s="184">
        <v>244</v>
      </c>
      <c r="D53" s="71">
        <f>E53+F53+G53+H53</f>
        <v>0</v>
      </c>
      <c r="E53" s="71">
        <f>'Раздел II обоснование 2018'!E99</f>
        <v>0</v>
      </c>
      <c r="F53" s="71">
        <v>0</v>
      </c>
      <c r="G53" s="97">
        <v>0</v>
      </c>
      <c r="H53" s="97">
        <v>0</v>
      </c>
      <c r="I53" s="71"/>
      <c r="J53" s="99"/>
      <c r="K53" s="99"/>
      <c r="L53" s="99"/>
    </row>
    <row r="54" spans="1:12" s="209" customFormat="1" ht="32.25" customHeight="1" thickBot="1" x14ac:dyDescent="0.3">
      <c r="A54" s="91" t="s">
        <v>82</v>
      </c>
      <c r="B54" s="82" t="s">
        <v>288</v>
      </c>
      <c r="C54" s="184">
        <v>244</v>
      </c>
      <c r="D54" s="71">
        <f>E54+F54+G54+H54</f>
        <v>4729910.01</v>
      </c>
      <c r="E54" s="71">
        <f>'Раздел II обоснование 2020'!G111</f>
        <v>4729910.01</v>
      </c>
      <c r="F54" s="71">
        <v>0</v>
      </c>
      <c r="G54" s="97">
        <v>0</v>
      </c>
      <c r="H54" s="97">
        <v>0</v>
      </c>
      <c r="I54" s="71"/>
      <c r="J54" s="99"/>
      <c r="K54" s="99"/>
      <c r="L54" s="99"/>
    </row>
    <row r="55" spans="1:12" s="209" customFormat="1" ht="51.75" customHeight="1" thickBot="1" x14ac:dyDescent="0.3">
      <c r="A55" s="91" t="s">
        <v>83</v>
      </c>
      <c r="B55" s="82" t="s">
        <v>289</v>
      </c>
      <c r="C55" s="184">
        <v>244</v>
      </c>
      <c r="D55" s="71">
        <f>E55+F55+H55</f>
        <v>0</v>
      </c>
      <c r="E55" s="71">
        <v>0</v>
      </c>
      <c r="F55" s="71">
        <v>0</v>
      </c>
      <c r="G55" s="97" t="s">
        <v>51</v>
      </c>
      <c r="H55" s="97">
        <v>0</v>
      </c>
      <c r="I55" s="71"/>
      <c r="J55" s="99"/>
      <c r="K55" s="99"/>
      <c r="L55" s="99"/>
    </row>
    <row r="56" spans="1:12" s="209" customFormat="1" ht="48" customHeight="1" thickBot="1" x14ac:dyDescent="0.3">
      <c r="A56" s="91" t="s">
        <v>84</v>
      </c>
      <c r="B56" s="82" t="s">
        <v>290</v>
      </c>
      <c r="C56" s="184">
        <v>244</v>
      </c>
      <c r="D56" s="71">
        <f t="shared" ref="D56:D61" si="0">E56+F56+G56+H56</f>
        <v>1396745</v>
      </c>
      <c r="E56" s="71">
        <f>'Раздел II обоснование 2020'!E141</f>
        <v>1396745</v>
      </c>
      <c r="F56" s="71">
        <v>0</v>
      </c>
      <c r="G56" s="97">
        <v>0</v>
      </c>
      <c r="H56" s="97">
        <v>0</v>
      </c>
      <c r="I56" s="71"/>
      <c r="J56" s="99"/>
      <c r="K56" s="99"/>
      <c r="L56" s="99"/>
    </row>
    <row r="57" spans="1:12" s="209" customFormat="1" ht="34.5" customHeight="1" thickBot="1" x14ac:dyDescent="0.3">
      <c r="A57" s="91" t="s">
        <v>85</v>
      </c>
      <c r="B57" s="82" t="s">
        <v>291</v>
      </c>
      <c r="C57" s="184">
        <v>244</v>
      </c>
      <c r="D57" s="71">
        <f t="shared" si="0"/>
        <v>783300</v>
      </c>
      <c r="E57" s="71">
        <f>'Раздел II обоснование 2020'!D155</f>
        <v>783300</v>
      </c>
      <c r="F57" s="71">
        <v>0</v>
      </c>
      <c r="G57" s="97">
        <v>0</v>
      </c>
      <c r="H57" s="97">
        <v>0</v>
      </c>
      <c r="I57" s="71"/>
      <c r="J57" s="99"/>
      <c r="K57" s="99"/>
      <c r="L57" s="99"/>
    </row>
    <row r="58" spans="1:12" s="209" customFormat="1" ht="51" customHeight="1" thickBot="1" x14ac:dyDescent="0.3">
      <c r="A58" s="91" t="s">
        <v>86</v>
      </c>
      <c r="B58" s="82" t="s">
        <v>292</v>
      </c>
      <c r="C58" s="184">
        <v>244</v>
      </c>
      <c r="D58" s="71">
        <f t="shared" si="0"/>
        <v>820000</v>
      </c>
      <c r="E58" s="71">
        <f>'Раздел II обоснование 2020'!E163</f>
        <v>820000</v>
      </c>
      <c r="F58" s="71">
        <v>0</v>
      </c>
      <c r="G58" s="97">
        <v>0</v>
      </c>
      <c r="H58" s="97">
        <v>0</v>
      </c>
      <c r="I58" s="71"/>
      <c r="J58" s="99"/>
      <c r="K58" s="99"/>
      <c r="L58" s="99"/>
    </row>
    <row r="59" spans="1:12" s="209" customFormat="1" ht="49.5" customHeight="1" thickBot="1" x14ac:dyDescent="0.3">
      <c r="A59" s="91" t="s">
        <v>87</v>
      </c>
      <c r="B59" s="82" t="s">
        <v>293</v>
      </c>
      <c r="C59" s="184">
        <v>244</v>
      </c>
      <c r="D59" s="71">
        <f t="shared" si="0"/>
        <v>8148201.6689938009</v>
      </c>
      <c r="E59" s="71">
        <f>'Раздел II обоснование 2020'!E167</f>
        <v>509400</v>
      </c>
      <c r="F59" s="71">
        <v>0</v>
      </c>
      <c r="G59" s="97">
        <v>0</v>
      </c>
      <c r="H59" s="97">
        <f>'Раздел II обоснование ПДД 2018'!E157</f>
        <v>7638801.6689938009</v>
      </c>
      <c r="I59" s="71"/>
      <c r="J59" s="99"/>
      <c r="K59" s="99"/>
      <c r="L59" s="99"/>
    </row>
    <row r="60" spans="1:12" ht="38.25" thickBot="1" x14ac:dyDescent="0.3">
      <c r="A60" s="46" t="s">
        <v>88</v>
      </c>
      <c r="B60" s="45" t="s">
        <v>294</v>
      </c>
      <c r="C60" s="214">
        <v>500</v>
      </c>
      <c r="D60" s="71">
        <f t="shared" si="0"/>
        <v>63771892.5</v>
      </c>
      <c r="E60" s="71">
        <f>E12</f>
        <v>57523800</v>
      </c>
      <c r="F60" s="71">
        <v>0</v>
      </c>
      <c r="G60" s="97">
        <f>G12</f>
        <v>0</v>
      </c>
      <c r="H60" s="97">
        <f>H12</f>
        <v>6248092.5</v>
      </c>
      <c r="I60" s="97"/>
    </row>
    <row r="61" spans="1:12" ht="38.25" thickBot="1" x14ac:dyDescent="0.3">
      <c r="A61" s="46" t="s">
        <v>89</v>
      </c>
      <c r="B61" s="45" t="s">
        <v>295</v>
      </c>
      <c r="C61" s="214">
        <v>600</v>
      </c>
      <c r="D61" s="71">
        <f t="shared" si="0"/>
        <v>65026972.607855842</v>
      </c>
      <c r="E61" s="97">
        <f>E27</f>
        <v>57388170.938862041</v>
      </c>
      <c r="F61" s="97">
        <v>0</v>
      </c>
      <c r="G61" s="97">
        <f>G27</f>
        <v>0</v>
      </c>
      <c r="H61" s="97">
        <f>H27</f>
        <v>7638801.6689938009</v>
      </c>
      <c r="I61" s="97"/>
    </row>
    <row r="62" spans="1:12" ht="33" customHeight="1" thickBot="1" x14ac:dyDescent="0.3">
      <c r="A62" s="46" t="s">
        <v>90</v>
      </c>
      <c r="B62" s="45" t="s">
        <v>296</v>
      </c>
      <c r="C62" s="214">
        <v>600</v>
      </c>
      <c r="D62" s="20"/>
      <c r="E62" s="97"/>
      <c r="F62" s="97"/>
      <c r="G62" s="97"/>
      <c r="H62" s="97"/>
      <c r="I62" s="97"/>
    </row>
    <row r="63" spans="1:12" x14ac:dyDescent="0.25">
      <c r="E63" s="206">
        <f>E11+E12-E27</f>
        <v>135629.06113795936</v>
      </c>
      <c r="F63" s="206">
        <f>F11+F12-F27</f>
        <v>0</v>
      </c>
      <c r="G63" s="206">
        <f>G11+G12-G27</f>
        <v>0</v>
      </c>
      <c r="H63" s="206">
        <f>H11+H12-H27</f>
        <v>-1390709.1689938009</v>
      </c>
    </row>
    <row r="64" spans="1:12" s="209" customFormat="1" ht="18.75" x14ac:dyDescent="0.25">
      <c r="A64" s="200"/>
      <c r="E64" s="206">
        <f>E60-E61</f>
        <v>135629.06113795936</v>
      </c>
      <c r="F64" s="206">
        <f>F60-F61</f>
        <v>0</v>
      </c>
      <c r="G64" s="206">
        <f>G60-G61</f>
        <v>0</v>
      </c>
      <c r="H64" s="206">
        <f>H60-H61</f>
        <v>-1390709.1689938009</v>
      </c>
      <c r="J64" s="99"/>
      <c r="K64" s="99"/>
      <c r="L64" s="99"/>
    </row>
    <row r="65" spans="1:1" ht="18.75" x14ac:dyDescent="0.25">
      <c r="A65" s="200"/>
    </row>
  </sheetData>
  <mergeCells count="102">
    <mergeCell ref="H51:H52"/>
    <mergeCell ref="I51:I52"/>
    <mergeCell ref="B51:B52"/>
    <mergeCell ref="C51:C52"/>
    <mergeCell ref="D51:D52"/>
    <mergeCell ref="E51:E52"/>
    <mergeCell ref="F51:F52"/>
    <mergeCell ref="G51:G52"/>
    <mergeCell ref="B44:B45"/>
    <mergeCell ref="C44:C45"/>
    <mergeCell ref="D44:D45"/>
    <mergeCell ref="E44:E45"/>
    <mergeCell ref="F44:F45"/>
    <mergeCell ref="G44:G45"/>
    <mergeCell ref="H44:H45"/>
    <mergeCell ref="I44:I45"/>
    <mergeCell ref="B48:B49"/>
    <mergeCell ref="C48:C49"/>
    <mergeCell ref="D48:D49"/>
    <mergeCell ref="E48:E49"/>
    <mergeCell ref="F48:F49"/>
    <mergeCell ref="G48:G49"/>
    <mergeCell ref="H48:H49"/>
    <mergeCell ref="I48:I49"/>
    <mergeCell ref="B35:B36"/>
    <mergeCell ref="C35:C36"/>
    <mergeCell ref="D35:D36"/>
    <mergeCell ref="E35:E36"/>
    <mergeCell ref="F35:F36"/>
    <mergeCell ref="G35:G36"/>
    <mergeCell ref="H35:H36"/>
    <mergeCell ref="I35:I36"/>
    <mergeCell ref="B38:B39"/>
    <mergeCell ref="C38:C39"/>
    <mergeCell ref="D38:D39"/>
    <mergeCell ref="E38:E39"/>
    <mergeCell ref="F38:F39"/>
    <mergeCell ref="G38:G39"/>
    <mergeCell ref="H38:H39"/>
    <mergeCell ref="I38:I39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18:B19"/>
    <mergeCell ref="C18:C19"/>
    <mergeCell ref="D18:D19"/>
    <mergeCell ref="E18:E19"/>
    <mergeCell ref="F18:F19"/>
    <mergeCell ref="G18:G19"/>
    <mergeCell ref="H18:H19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M13:M16"/>
    <mergeCell ref="B15:B16"/>
    <mergeCell ref="C15:C16"/>
    <mergeCell ref="D15:D16"/>
    <mergeCell ref="E15:E16"/>
    <mergeCell ref="F15:F16"/>
    <mergeCell ref="G15:G16"/>
    <mergeCell ref="H15:H16"/>
    <mergeCell ref="I15:I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3:I3"/>
    <mergeCell ref="A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A6" location="Par1206" display="Par1206"/>
    <hyperlink ref="F8" r:id="rId1" display="consultantplus://offline/ref=EC513630DD0A2F9B2EC0205798B851993A5251D08ECB4308CDDA19182ECC2154EE9666852E0BHBNDC"/>
  </hyperlinks>
  <pageMargins left="0.70866141732283472" right="0.70866141732283472" top="0.74803149606299213" bottom="0.74803149606299213" header="0.31496062992125984" footer="0.31496062992125984"/>
  <pageSetup paperSize="9" scale="32" fitToHeight="2" orientation="portrait" r:id="rId2"/>
  <rowBreaks count="2" manualBreakCount="2">
    <brk id="26" max="11" man="1"/>
    <brk id="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8"/>
  <sheetViews>
    <sheetView view="pageBreakPreview" topLeftCell="A51" zoomScale="60" workbookViewId="0">
      <selection activeCell="A10" sqref="A10"/>
    </sheetView>
  </sheetViews>
  <sheetFormatPr defaultColWidth="28.85546875" defaultRowHeight="15" x14ac:dyDescent="0.25"/>
  <cols>
    <col min="1" max="1" width="50.42578125" style="93" customWidth="1"/>
    <col min="2" max="2" width="9.5703125" style="93" customWidth="1"/>
    <col min="3" max="3" width="27.7109375" style="93" customWidth="1"/>
    <col min="4" max="4" width="29.28515625" style="93" customWidth="1"/>
    <col min="5" max="5" width="21.5703125" style="93" customWidth="1"/>
    <col min="6" max="6" width="18.5703125" style="93" customWidth="1"/>
    <col min="7" max="7" width="13.28515625" style="93" customWidth="1"/>
    <col min="8" max="8" width="18" style="93" customWidth="1"/>
    <col min="9" max="9" width="16.140625" style="93" customWidth="1"/>
    <col min="10" max="10" width="22.140625" style="93" customWidth="1"/>
    <col min="11" max="11" width="22.85546875" style="93" customWidth="1"/>
    <col min="12" max="12" width="25.7109375" style="93" customWidth="1"/>
    <col min="13" max="13" width="36.42578125" style="93" customWidth="1"/>
    <col min="14" max="16384" width="28.85546875" style="93"/>
  </cols>
  <sheetData>
    <row r="1" spans="1:14" ht="18.75" x14ac:dyDescent="0.25">
      <c r="A1" s="268" t="s">
        <v>103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4" ht="18.75" x14ac:dyDescent="0.25">
      <c r="A2" s="268" t="s">
        <v>417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4" ht="15.75" thickBot="1" x14ac:dyDescent="0.3">
      <c r="L3" s="93" t="s">
        <v>104</v>
      </c>
    </row>
    <row r="4" spans="1:14" ht="19.5" thickBot="1" x14ac:dyDescent="0.3">
      <c r="A4" s="273" t="s">
        <v>1</v>
      </c>
      <c r="B4" s="273" t="s">
        <v>41</v>
      </c>
      <c r="C4" s="273" t="s">
        <v>95</v>
      </c>
      <c r="D4" s="304" t="s">
        <v>96</v>
      </c>
      <c r="E4" s="305"/>
      <c r="F4" s="305"/>
      <c r="G4" s="305"/>
      <c r="H4" s="305"/>
      <c r="I4" s="305"/>
      <c r="J4" s="305"/>
      <c r="K4" s="305"/>
      <c r="L4" s="306"/>
    </row>
    <row r="5" spans="1:14" ht="19.5" thickBot="1" x14ac:dyDescent="0.3">
      <c r="A5" s="303"/>
      <c r="B5" s="303"/>
      <c r="C5" s="303"/>
      <c r="D5" s="311" t="s">
        <v>97</v>
      </c>
      <c r="E5" s="312"/>
      <c r="F5" s="313"/>
      <c r="G5" s="304" t="s">
        <v>22</v>
      </c>
      <c r="H5" s="305"/>
      <c r="I5" s="305"/>
      <c r="J5" s="305"/>
      <c r="K5" s="305"/>
      <c r="L5" s="306"/>
    </row>
    <row r="6" spans="1:14" ht="65.25" customHeight="1" thickBot="1" x14ac:dyDescent="0.3">
      <c r="A6" s="303"/>
      <c r="B6" s="303"/>
      <c r="C6" s="303"/>
      <c r="D6" s="314"/>
      <c r="E6" s="315"/>
      <c r="F6" s="316"/>
      <c r="G6" s="317" t="s">
        <v>98</v>
      </c>
      <c r="H6" s="318"/>
      <c r="I6" s="319"/>
      <c r="J6" s="317" t="s">
        <v>99</v>
      </c>
      <c r="K6" s="318"/>
      <c r="L6" s="319"/>
    </row>
    <row r="7" spans="1:14" ht="71.25" customHeight="1" thickBot="1" x14ac:dyDescent="0.3">
      <c r="A7" s="274"/>
      <c r="B7" s="274"/>
      <c r="C7" s="274"/>
      <c r="D7" s="185" t="s">
        <v>413</v>
      </c>
      <c r="E7" s="185" t="s">
        <v>414</v>
      </c>
      <c r="F7" s="185" t="s">
        <v>415</v>
      </c>
      <c r="G7" s="185" t="s">
        <v>413</v>
      </c>
      <c r="H7" s="185" t="s">
        <v>414</v>
      </c>
      <c r="I7" s="185" t="s">
        <v>415</v>
      </c>
      <c r="J7" s="185" t="s">
        <v>413</v>
      </c>
      <c r="K7" s="185" t="s">
        <v>414</v>
      </c>
      <c r="L7" s="185" t="s">
        <v>415</v>
      </c>
    </row>
    <row r="8" spans="1:14" ht="19.5" thickBot="1" x14ac:dyDescent="0.3">
      <c r="A8" s="179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</row>
    <row r="9" spans="1:14" ht="51.75" customHeight="1" thickBot="1" x14ac:dyDescent="0.3">
      <c r="A9" s="178" t="s">
        <v>100</v>
      </c>
      <c r="B9" s="45" t="s">
        <v>297</v>
      </c>
      <c r="C9" s="123" t="s">
        <v>51</v>
      </c>
      <c r="D9" s="51">
        <f>J9</f>
        <v>18597483.789999999</v>
      </c>
      <c r="E9" s="51">
        <f>K9</f>
        <v>15733741.2965938</v>
      </c>
      <c r="F9" s="51">
        <f>L9</f>
        <v>15911156.676593801</v>
      </c>
      <c r="G9" s="51"/>
      <c r="H9" s="86"/>
      <c r="I9" s="86"/>
      <c r="J9" s="51">
        <f>J10+J27</f>
        <v>18597483.789999999</v>
      </c>
      <c r="K9" s="86">
        <f>K10+K27</f>
        <v>15733741.2965938</v>
      </c>
      <c r="L9" s="86">
        <f>L10+L27</f>
        <v>15911156.676593801</v>
      </c>
      <c r="M9" s="93" t="s">
        <v>298</v>
      </c>
      <c r="N9" s="186"/>
    </row>
    <row r="10" spans="1:14" s="190" customFormat="1" ht="59.25" customHeight="1" thickBot="1" x14ac:dyDescent="0.3">
      <c r="A10" s="187" t="s">
        <v>101</v>
      </c>
      <c r="B10" s="188">
        <v>1001</v>
      </c>
      <c r="C10" s="188" t="s">
        <v>51</v>
      </c>
      <c r="D10" s="51">
        <f t="shared" ref="D10:F70" si="0">J10</f>
        <v>0</v>
      </c>
      <c r="E10" s="51">
        <f t="shared" si="0"/>
        <v>0</v>
      </c>
      <c r="F10" s="51">
        <f t="shared" si="0"/>
        <v>0</v>
      </c>
      <c r="G10" s="189"/>
      <c r="H10" s="189"/>
      <c r="I10" s="189"/>
      <c r="J10" s="189">
        <f>SUM(J11:J26)</f>
        <v>0</v>
      </c>
      <c r="K10" s="189">
        <f>SUM(K11:K26)</f>
        <v>0</v>
      </c>
      <c r="L10" s="189">
        <f>SUM(L11:L26)</f>
        <v>0</v>
      </c>
    </row>
    <row r="11" spans="1:14" ht="27" hidden="1" customHeight="1" thickBot="1" x14ac:dyDescent="0.3">
      <c r="A11" s="245" t="s">
        <v>385</v>
      </c>
      <c r="B11" s="246"/>
      <c r="C11" s="246"/>
      <c r="D11" s="51">
        <f t="shared" si="0"/>
        <v>0</v>
      </c>
      <c r="E11" s="51">
        <f t="shared" si="0"/>
        <v>0</v>
      </c>
      <c r="F11" s="51">
        <f t="shared" si="0"/>
        <v>0</v>
      </c>
      <c r="G11" s="71"/>
      <c r="H11" s="20"/>
      <c r="I11" s="20"/>
      <c r="J11" s="71">
        <v>0</v>
      </c>
      <c r="K11" s="20">
        <v>0</v>
      </c>
      <c r="L11" s="20">
        <v>0</v>
      </c>
    </row>
    <row r="12" spans="1:14" s="196" customFormat="1" ht="25.5" hidden="1" customHeight="1" thickBot="1" x14ac:dyDescent="0.3">
      <c r="A12" s="69" t="s">
        <v>314</v>
      </c>
      <c r="B12" s="184"/>
      <c r="C12" s="111"/>
      <c r="D12" s="86">
        <f t="shared" si="0"/>
        <v>0</v>
      </c>
      <c r="E12" s="86">
        <f t="shared" si="0"/>
        <v>0</v>
      </c>
      <c r="F12" s="86">
        <f t="shared" si="0"/>
        <v>0</v>
      </c>
      <c r="G12" s="71"/>
      <c r="H12" s="71"/>
      <c r="I12" s="71"/>
      <c r="J12" s="71">
        <v>0</v>
      </c>
      <c r="K12" s="71">
        <v>0</v>
      </c>
      <c r="L12" s="71">
        <v>0</v>
      </c>
    </row>
    <row r="13" spans="1:14" s="196" customFormat="1" ht="25.5" hidden="1" customHeight="1" thickBot="1" x14ac:dyDescent="0.3">
      <c r="A13" s="69" t="s">
        <v>315</v>
      </c>
      <c r="B13" s="184"/>
      <c r="C13" s="111"/>
      <c r="D13" s="86">
        <f t="shared" si="0"/>
        <v>0</v>
      </c>
      <c r="E13" s="86">
        <f t="shared" si="0"/>
        <v>0</v>
      </c>
      <c r="F13" s="86">
        <f t="shared" si="0"/>
        <v>0</v>
      </c>
      <c r="G13" s="71"/>
      <c r="H13" s="71"/>
      <c r="I13" s="71"/>
      <c r="J13" s="71">
        <v>0</v>
      </c>
      <c r="K13" s="71">
        <v>0</v>
      </c>
      <c r="L13" s="71">
        <v>0</v>
      </c>
    </row>
    <row r="14" spans="1:14" ht="42" hidden="1" customHeight="1" thickBot="1" x14ac:dyDescent="0.3">
      <c r="A14" s="69" t="s">
        <v>319</v>
      </c>
      <c r="B14" s="184"/>
      <c r="C14" s="111"/>
      <c r="D14" s="86">
        <f t="shared" si="0"/>
        <v>0</v>
      </c>
      <c r="E14" s="86">
        <f t="shared" si="0"/>
        <v>0</v>
      </c>
      <c r="F14" s="86">
        <f t="shared" si="0"/>
        <v>0</v>
      </c>
      <c r="G14" s="71"/>
      <c r="H14" s="71"/>
      <c r="I14" s="71"/>
      <c r="J14" s="71">
        <v>0</v>
      </c>
      <c r="K14" s="71">
        <v>0</v>
      </c>
      <c r="L14" s="71">
        <v>0</v>
      </c>
    </row>
    <row r="15" spans="1:14" s="196" customFormat="1" ht="25.5" hidden="1" customHeight="1" thickBot="1" x14ac:dyDescent="0.3">
      <c r="A15" s="69" t="s">
        <v>316</v>
      </c>
      <c r="B15" s="184"/>
      <c r="C15" s="111"/>
      <c r="D15" s="86">
        <f t="shared" si="0"/>
        <v>0</v>
      </c>
      <c r="E15" s="86">
        <f t="shared" si="0"/>
        <v>0</v>
      </c>
      <c r="F15" s="86">
        <f t="shared" si="0"/>
        <v>0</v>
      </c>
      <c r="G15" s="71"/>
      <c r="H15" s="71"/>
      <c r="I15" s="71"/>
      <c r="J15" s="71">
        <v>0</v>
      </c>
      <c r="K15" s="71">
        <v>0</v>
      </c>
      <c r="L15" s="71">
        <v>0</v>
      </c>
    </row>
    <row r="16" spans="1:14" ht="25.5" hidden="1" customHeight="1" thickBot="1" x14ac:dyDescent="0.3">
      <c r="A16" s="69" t="s">
        <v>386</v>
      </c>
      <c r="B16" s="184"/>
      <c r="C16" s="111"/>
      <c r="D16" s="86">
        <f t="shared" si="0"/>
        <v>0</v>
      </c>
      <c r="E16" s="86">
        <f t="shared" si="0"/>
        <v>0</v>
      </c>
      <c r="F16" s="86">
        <f t="shared" si="0"/>
        <v>0</v>
      </c>
      <c r="G16" s="71"/>
      <c r="H16" s="71"/>
      <c r="I16" s="71"/>
      <c r="J16" s="71">
        <v>0</v>
      </c>
      <c r="K16" s="71">
        <v>0</v>
      </c>
      <c r="L16" s="71">
        <v>0</v>
      </c>
    </row>
    <row r="17" spans="1:14" ht="48" hidden="1" customHeight="1" thickBot="1" x14ac:dyDescent="0.3">
      <c r="A17" s="69" t="s">
        <v>321</v>
      </c>
      <c r="B17" s="184"/>
      <c r="C17" s="184"/>
      <c r="D17" s="86">
        <f t="shared" si="0"/>
        <v>0</v>
      </c>
      <c r="E17" s="86">
        <f t="shared" si="0"/>
        <v>0</v>
      </c>
      <c r="F17" s="86">
        <f t="shared" si="0"/>
        <v>0</v>
      </c>
      <c r="G17" s="71"/>
      <c r="H17" s="71"/>
      <c r="I17" s="71"/>
      <c r="J17" s="71">
        <v>0</v>
      </c>
      <c r="K17" s="71">
        <v>0</v>
      </c>
      <c r="L17" s="71">
        <v>0</v>
      </c>
    </row>
    <row r="18" spans="1:14" ht="48" hidden="1" customHeight="1" thickBot="1" x14ac:dyDescent="0.3">
      <c r="A18" s="69" t="s">
        <v>387</v>
      </c>
      <c r="B18" s="184"/>
      <c r="C18" s="184"/>
      <c r="D18" s="86">
        <f t="shared" si="0"/>
        <v>0</v>
      </c>
      <c r="E18" s="86">
        <f t="shared" si="0"/>
        <v>0</v>
      </c>
      <c r="F18" s="86">
        <f t="shared" si="0"/>
        <v>0</v>
      </c>
      <c r="G18" s="71"/>
      <c r="H18" s="71"/>
      <c r="I18" s="71"/>
      <c r="J18" s="71">
        <v>0</v>
      </c>
      <c r="K18" s="71">
        <v>0</v>
      </c>
      <c r="L18" s="71">
        <v>0</v>
      </c>
    </row>
    <row r="19" spans="1:14" ht="48" hidden="1" customHeight="1" thickBot="1" x14ac:dyDescent="0.3">
      <c r="A19" s="88" t="s">
        <v>388</v>
      </c>
      <c r="B19" s="184"/>
      <c r="C19" s="184"/>
      <c r="D19" s="86">
        <f t="shared" si="0"/>
        <v>0</v>
      </c>
      <c r="E19" s="86">
        <f t="shared" si="0"/>
        <v>0</v>
      </c>
      <c r="F19" s="86">
        <f t="shared" si="0"/>
        <v>0</v>
      </c>
      <c r="G19" s="71"/>
      <c r="H19" s="71"/>
      <c r="I19" s="71"/>
      <c r="J19" s="71">
        <v>0</v>
      </c>
      <c r="K19" s="71">
        <v>0</v>
      </c>
      <c r="L19" s="71">
        <v>0</v>
      </c>
      <c r="M19" s="186">
        <f>D9-'[1]Раздел 3 2017г.'!D47</f>
        <v>3507792.1099999994</v>
      </c>
    </row>
    <row r="20" spans="1:14" ht="48" hidden="1" customHeight="1" thickBot="1" x14ac:dyDescent="0.3">
      <c r="A20" s="88" t="s">
        <v>389</v>
      </c>
      <c r="B20" s="184"/>
      <c r="C20" s="184"/>
      <c r="D20" s="86">
        <f t="shared" si="0"/>
        <v>0</v>
      </c>
      <c r="E20" s="86">
        <f t="shared" si="0"/>
        <v>0</v>
      </c>
      <c r="F20" s="86">
        <f t="shared" si="0"/>
        <v>0</v>
      </c>
      <c r="G20" s="71"/>
      <c r="H20" s="71"/>
      <c r="I20" s="71"/>
      <c r="J20" s="71">
        <v>0</v>
      </c>
      <c r="K20" s="71">
        <v>0</v>
      </c>
      <c r="L20" s="71">
        <v>0</v>
      </c>
    </row>
    <row r="21" spans="1:14" ht="48" hidden="1" customHeight="1" thickBot="1" x14ac:dyDescent="0.3">
      <c r="A21" s="88" t="s">
        <v>326</v>
      </c>
      <c r="B21" s="184"/>
      <c r="C21" s="184"/>
      <c r="D21" s="86">
        <f t="shared" si="0"/>
        <v>0</v>
      </c>
      <c r="E21" s="86">
        <f t="shared" si="0"/>
        <v>0</v>
      </c>
      <c r="F21" s="86">
        <f t="shared" si="0"/>
        <v>0</v>
      </c>
      <c r="G21" s="71"/>
      <c r="H21" s="71"/>
      <c r="I21" s="71"/>
      <c r="J21" s="71">
        <v>0</v>
      </c>
      <c r="K21" s="71">
        <v>0</v>
      </c>
      <c r="L21" s="71">
        <v>0</v>
      </c>
    </row>
    <row r="22" spans="1:14" ht="48" hidden="1" customHeight="1" thickBot="1" x14ac:dyDescent="0.3">
      <c r="A22" s="88" t="s">
        <v>327</v>
      </c>
      <c r="B22" s="184"/>
      <c r="C22" s="184"/>
      <c r="D22" s="86">
        <f t="shared" si="0"/>
        <v>0</v>
      </c>
      <c r="E22" s="86">
        <f t="shared" si="0"/>
        <v>0</v>
      </c>
      <c r="F22" s="86">
        <f t="shared" si="0"/>
        <v>0</v>
      </c>
      <c r="G22" s="71"/>
      <c r="H22" s="71"/>
      <c r="I22" s="71"/>
      <c r="J22" s="71">
        <v>0</v>
      </c>
      <c r="K22" s="71">
        <v>0</v>
      </c>
      <c r="L22" s="71">
        <v>0</v>
      </c>
    </row>
    <row r="23" spans="1:14" ht="48" hidden="1" customHeight="1" thickBot="1" x14ac:dyDescent="0.3">
      <c r="A23" s="88" t="s">
        <v>390</v>
      </c>
      <c r="B23" s="184"/>
      <c r="C23" s="184"/>
      <c r="D23" s="86">
        <f t="shared" si="0"/>
        <v>0</v>
      </c>
      <c r="E23" s="86">
        <f t="shared" si="0"/>
        <v>0</v>
      </c>
      <c r="F23" s="86">
        <f t="shared" si="0"/>
        <v>0</v>
      </c>
      <c r="G23" s="71"/>
      <c r="H23" s="71"/>
      <c r="I23" s="71"/>
      <c r="J23" s="71">
        <v>0</v>
      </c>
      <c r="K23" s="71">
        <v>0</v>
      </c>
      <c r="L23" s="71">
        <v>0</v>
      </c>
    </row>
    <row r="24" spans="1:14" ht="48" hidden="1" customHeight="1" thickBot="1" x14ac:dyDescent="0.3">
      <c r="A24" s="69" t="s">
        <v>331</v>
      </c>
      <c r="B24" s="184"/>
      <c r="C24" s="184"/>
      <c r="D24" s="86">
        <f t="shared" si="0"/>
        <v>0</v>
      </c>
      <c r="E24" s="86">
        <f t="shared" si="0"/>
        <v>0</v>
      </c>
      <c r="F24" s="86">
        <f t="shared" si="0"/>
        <v>0</v>
      </c>
      <c r="G24" s="71"/>
      <c r="H24" s="71"/>
      <c r="I24" s="71"/>
      <c r="J24" s="71">
        <v>0</v>
      </c>
      <c r="K24" s="71">
        <v>0</v>
      </c>
      <c r="L24" s="71">
        <v>0</v>
      </c>
    </row>
    <row r="25" spans="1:14" ht="48" hidden="1" customHeight="1" thickBot="1" x14ac:dyDescent="0.3">
      <c r="A25" s="69" t="s">
        <v>391</v>
      </c>
      <c r="B25" s="184"/>
      <c r="C25" s="184"/>
      <c r="D25" s="86">
        <f t="shared" si="0"/>
        <v>0</v>
      </c>
      <c r="E25" s="86">
        <f t="shared" si="0"/>
        <v>0</v>
      </c>
      <c r="F25" s="86">
        <f t="shared" si="0"/>
        <v>0</v>
      </c>
      <c r="G25" s="71"/>
      <c r="H25" s="71"/>
      <c r="I25" s="71"/>
      <c r="J25" s="71">
        <v>0</v>
      </c>
      <c r="K25" s="71">
        <v>0</v>
      </c>
      <c r="L25" s="71">
        <v>0</v>
      </c>
    </row>
    <row r="26" spans="1:14" ht="28.5" hidden="1" customHeight="1" thickBot="1" x14ac:dyDescent="0.3">
      <c r="A26" s="69" t="s">
        <v>392</v>
      </c>
      <c r="B26" s="184"/>
      <c r="C26" s="184"/>
      <c r="D26" s="86">
        <f t="shared" si="0"/>
        <v>0</v>
      </c>
      <c r="E26" s="86">
        <f t="shared" si="0"/>
        <v>0</v>
      </c>
      <c r="F26" s="86">
        <f t="shared" si="0"/>
        <v>0</v>
      </c>
      <c r="G26" s="71"/>
      <c r="H26" s="71"/>
      <c r="I26" s="71"/>
      <c r="J26" s="71">
        <v>0</v>
      </c>
      <c r="K26" s="71">
        <v>0</v>
      </c>
      <c r="L26" s="71">
        <v>0</v>
      </c>
    </row>
    <row r="27" spans="1:14" s="195" customFormat="1" ht="51" customHeight="1" thickBot="1" x14ac:dyDescent="0.3">
      <c r="A27" s="191" t="s">
        <v>102</v>
      </c>
      <c r="B27" s="192">
        <v>2001</v>
      </c>
      <c r="C27" s="193"/>
      <c r="D27" s="86">
        <f>J27</f>
        <v>18597483.789999999</v>
      </c>
      <c r="E27" s="86">
        <f t="shared" si="0"/>
        <v>15733741.2965938</v>
      </c>
      <c r="F27" s="86">
        <f t="shared" si="0"/>
        <v>15911156.676593801</v>
      </c>
      <c r="G27" s="189"/>
      <c r="H27" s="189"/>
      <c r="I27" s="189"/>
      <c r="J27" s="189">
        <f>SUM(J28:J70)</f>
        <v>18597483.789999999</v>
      </c>
      <c r="K27" s="189">
        <f>SUM(K28:K70)</f>
        <v>15733741.2965938</v>
      </c>
      <c r="L27" s="189">
        <f>SUM(L28:L70)</f>
        <v>15911156.676593801</v>
      </c>
      <c r="M27" s="194"/>
      <c r="N27" s="194"/>
    </row>
    <row r="28" spans="1:14" s="196" customFormat="1" ht="25.5" customHeight="1" thickBot="1" x14ac:dyDescent="0.3">
      <c r="A28" s="69" t="s">
        <v>385</v>
      </c>
      <c r="B28" s="184"/>
      <c r="C28" s="111"/>
      <c r="D28" s="86">
        <f t="shared" si="0"/>
        <v>25002.190000000002</v>
      </c>
      <c r="E28" s="86">
        <f t="shared" si="0"/>
        <v>32999.997600000002</v>
      </c>
      <c r="F28" s="86">
        <f t="shared" si="0"/>
        <v>32999.997600000002</v>
      </c>
      <c r="G28" s="71"/>
      <c r="H28" s="71"/>
      <c r="I28" s="71"/>
      <c r="J28" s="71">
        <f>'Раздел II обоснование 2018'!F92</f>
        <v>25002.190000000002</v>
      </c>
      <c r="K28" s="71">
        <f>'Раздел II обоснование 2019'!F92</f>
        <v>32999.997600000002</v>
      </c>
      <c r="L28" s="71">
        <f>'Раздел II обоснование 2020'!F92</f>
        <v>32999.997600000002</v>
      </c>
    </row>
    <row r="29" spans="1:14" s="196" customFormat="1" ht="25.5" customHeight="1" thickBot="1" x14ac:dyDescent="0.3">
      <c r="A29" s="69" t="s">
        <v>314</v>
      </c>
      <c r="B29" s="184"/>
      <c r="C29" s="111"/>
      <c r="D29" s="86">
        <f t="shared" si="0"/>
        <v>2572809.1199999996</v>
      </c>
      <c r="E29" s="86">
        <f t="shared" si="0"/>
        <v>2473322.86</v>
      </c>
      <c r="F29" s="86">
        <f t="shared" si="0"/>
        <v>2572260.16</v>
      </c>
      <c r="G29" s="71"/>
      <c r="H29" s="71"/>
      <c r="I29" s="71"/>
      <c r="J29" s="71">
        <f>'Раздел II обоснование 2018'!G105</f>
        <v>2572809.1199999996</v>
      </c>
      <c r="K29" s="71">
        <f>'Раздел II обоснование 2019'!G105</f>
        <v>2473322.86</v>
      </c>
      <c r="L29" s="71">
        <f>'Раздел II обоснование 2020'!G105+5</f>
        <v>2572260.16</v>
      </c>
    </row>
    <row r="30" spans="1:14" s="196" customFormat="1" ht="25.5" customHeight="1" thickBot="1" x14ac:dyDescent="0.3">
      <c r="A30" s="69" t="s">
        <v>315</v>
      </c>
      <c r="B30" s="184"/>
      <c r="C30" s="111"/>
      <c r="D30" s="86">
        <f t="shared" si="0"/>
        <v>1220069.3600000001</v>
      </c>
      <c r="E30" s="86">
        <f t="shared" si="0"/>
        <v>1142576.53</v>
      </c>
      <c r="F30" s="86">
        <f t="shared" si="0"/>
        <v>1188279.19</v>
      </c>
      <c r="G30" s="71"/>
      <c r="H30" s="71"/>
      <c r="I30" s="71"/>
      <c r="J30" s="71">
        <f>'Раздел II обоснование 2018'!G106</f>
        <v>1220069.3600000001</v>
      </c>
      <c r="K30" s="71">
        <f>'Раздел II обоснование 2019'!G106</f>
        <v>1142576.53</v>
      </c>
      <c r="L30" s="71">
        <f>'Раздел II обоснование 2020'!G106</f>
        <v>1188279.19</v>
      </c>
    </row>
    <row r="31" spans="1:14" s="196" customFormat="1" ht="42" customHeight="1" thickBot="1" x14ac:dyDescent="0.3">
      <c r="A31" s="69" t="s">
        <v>319</v>
      </c>
      <c r="B31" s="184"/>
      <c r="C31" s="111"/>
      <c r="D31" s="86">
        <f t="shared" si="0"/>
        <v>111683.23</v>
      </c>
      <c r="E31" s="86">
        <f t="shared" si="0"/>
        <v>80449.8</v>
      </c>
      <c r="F31" s="86">
        <f t="shared" si="0"/>
        <v>83670.070000000007</v>
      </c>
      <c r="G31" s="71"/>
      <c r="H31" s="71"/>
      <c r="I31" s="71"/>
      <c r="J31" s="71">
        <f>'Раздел II обоснование 2018'!G110</f>
        <v>111683.23</v>
      </c>
      <c r="K31" s="71">
        <f>'Раздел II обоснование 2019'!G110</f>
        <v>80449.8</v>
      </c>
      <c r="L31" s="71">
        <f>'Раздел II обоснование 2020'!G110</f>
        <v>83670.070000000007</v>
      </c>
    </row>
    <row r="32" spans="1:14" s="196" customFormat="1" ht="25.5" customHeight="1" thickBot="1" x14ac:dyDescent="0.3">
      <c r="A32" s="69" t="s">
        <v>316</v>
      </c>
      <c r="B32" s="184"/>
      <c r="C32" s="111"/>
      <c r="D32" s="86">
        <f t="shared" si="0"/>
        <v>452932.51</v>
      </c>
      <c r="E32" s="86">
        <f t="shared" si="0"/>
        <v>456957.66</v>
      </c>
      <c r="F32" s="86">
        <f t="shared" si="0"/>
        <v>470558.77</v>
      </c>
      <c r="G32" s="71"/>
      <c r="H32" s="71"/>
      <c r="I32" s="71"/>
      <c r="J32" s="71">
        <f>'Раздел II обоснование 2018'!G107</f>
        <v>452932.51</v>
      </c>
      <c r="K32" s="71">
        <f>'Раздел II обоснование 2019'!G107</f>
        <v>456957.66</v>
      </c>
      <c r="L32" s="71">
        <f>'Раздел II обоснование 2020'!G107</f>
        <v>470558.77</v>
      </c>
    </row>
    <row r="33" spans="1:12" s="196" customFormat="1" ht="25.5" customHeight="1" thickBot="1" x14ac:dyDescent="0.3">
      <c r="A33" s="69" t="s">
        <v>386</v>
      </c>
      <c r="B33" s="184"/>
      <c r="C33" s="111"/>
      <c r="D33" s="86">
        <f t="shared" si="0"/>
        <v>251174.24</v>
      </c>
      <c r="E33" s="86">
        <f t="shared" si="0"/>
        <v>193468.71</v>
      </c>
      <c r="F33" s="86">
        <f t="shared" si="0"/>
        <v>201212.79</v>
      </c>
      <c r="G33" s="71"/>
      <c r="H33" s="71"/>
      <c r="I33" s="71"/>
      <c r="J33" s="71">
        <f>'Раздел II обоснование 2018'!G108</f>
        <v>251174.24</v>
      </c>
      <c r="K33" s="71">
        <f>'Раздел II обоснование 2019'!G108</f>
        <v>193468.71</v>
      </c>
      <c r="L33" s="71">
        <f>'Раздел II обоснование 2020'!G108</f>
        <v>201212.79</v>
      </c>
    </row>
    <row r="34" spans="1:12" s="196" customFormat="1" ht="25.5" customHeight="1" thickBot="1" x14ac:dyDescent="0.3">
      <c r="A34" s="69" t="s">
        <v>318</v>
      </c>
      <c r="B34" s="184"/>
      <c r="C34" s="111"/>
      <c r="D34" s="86">
        <f t="shared" si="0"/>
        <v>156143.12</v>
      </c>
      <c r="E34" s="86">
        <f t="shared" si="0"/>
        <v>205724.07</v>
      </c>
      <c r="F34" s="86">
        <f t="shared" si="0"/>
        <v>213934.03</v>
      </c>
      <c r="G34" s="71"/>
      <c r="H34" s="71"/>
      <c r="I34" s="71"/>
      <c r="J34" s="71">
        <f>'Раздел II обоснование 2018'!G109</f>
        <v>156143.12</v>
      </c>
      <c r="K34" s="71">
        <f>'Раздел II обоснование 2019'!G109</f>
        <v>205724.07</v>
      </c>
      <c r="L34" s="71">
        <f>'Раздел II обоснование 2020'!G109</f>
        <v>213934.03</v>
      </c>
    </row>
    <row r="35" spans="1:12" s="196" customFormat="1" ht="25.5" customHeight="1" thickBot="1" x14ac:dyDescent="0.3">
      <c r="A35" s="69" t="s">
        <v>321</v>
      </c>
      <c r="B35" s="184"/>
      <c r="C35" s="111"/>
      <c r="D35" s="86">
        <f t="shared" si="0"/>
        <v>79657.259999999995</v>
      </c>
      <c r="E35" s="86">
        <f t="shared" si="0"/>
        <v>74040</v>
      </c>
      <c r="F35" s="86">
        <f t="shared" si="0"/>
        <v>74040</v>
      </c>
      <c r="G35" s="71"/>
      <c r="H35" s="71"/>
      <c r="I35" s="71"/>
      <c r="J35" s="71">
        <f>'Раздел II обоснование 2018'!E124</f>
        <v>79657.259999999995</v>
      </c>
      <c r="K35" s="71">
        <f>'Раздел II обоснование 2019'!E124</f>
        <v>74040</v>
      </c>
      <c r="L35" s="71">
        <f>'Раздел II обоснование 2020'!E124</f>
        <v>74040</v>
      </c>
    </row>
    <row r="36" spans="1:12" s="196" customFormat="1" ht="38.25" customHeight="1" thickBot="1" x14ac:dyDescent="0.3">
      <c r="A36" s="69" t="s">
        <v>387</v>
      </c>
      <c r="B36" s="184"/>
      <c r="C36" s="111"/>
      <c r="D36" s="86">
        <f t="shared" si="0"/>
        <v>75600</v>
      </c>
      <c r="E36" s="86">
        <f t="shared" si="0"/>
        <v>81600</v>
      </c>
      <c r="F36" s="86">
        <f t="shared" si="0"/>
        <v>81600</v>
      </c>
      <c r="G36" s="71"/>
      <c r="H36" s="71"/>
      <c r="I36" s="71"/>
      <c r="J36" s="71">
        <f>'Раздел II обоснование 2018'!E127</f>
        <v>75600</v>
      </c>
      <c r="K36" s="71">
        <f>'Раздел II обоснование 2019'!E127</f>
        <v>81600</v>
      </c>
      <c r="L36" s="71">
        <f>'Раздел II обоснование 2020'!E127</f>
        <v>81600</v>
      </c>
    </row>
    <row r="37" spans="1:12" s="196" customFormat="1" ht="38.25" customHeight="1" thickBot="1" x14ac:dyDescent="0.3">
      <c r="A37" s="69" t="s">
        <v>393</v>
      </c>
      <c r="B37" s="184"/>
      <c r="C37" s="111"/>
      <c r="D37" s="86">
        <f t="shared" si="0"/>
        <v>15227</v>
      </c>
      <c r="E37" s="86">
        <f t="shared" si="0"/>
        <v>11000</v>
      </c>
      <c r="F37" s="86">
        <f t="shared" si="0"/>
        <v>11000</v>
      </c>
      <c r="G37" s="71"/>
      <c r="H37" s="71"/>
      <c r="I37" s="71"/>
      <c r="J37" s="71">
        <f>'Раздел II обоснование 2018'!E126</f>
        <v>15227</v>
      </c>
      <c r="K37" s="71">
        <f>'Раздел II обоснование 2019'!E126</f>
        <v>11000</v>
      </c>
      <c r="L37" s="71">
        <f>'Раздел II обоснование 2020'!E126</f>
        <v>11000</v>
      </c>
    </row>
    <row r="38" spans="1:12" s="196" customFormat="1" ht="43.5" customHeight="1" thickBot="1" x14ac:dyDescent="0.3">
      <c r="A38" s="88" t="s">
        <v>388</v>
      </c>
      <c r="B38" s="184"/>
      <c r="C38" s="111"/>
      <c r="D38" s="86">
        <f t="shared" si="0"/>
        <v>72000</v>
      </c>
      <c r="E38" s="86">
        <f t="shared" si="0"/>
        <v>77760</v>
      </c>
      <c r="F38" s="86">
        <f t="shared" si="0"/>
        <v>77760</v>
      </c>
      <c r="G38" s="71"/>
      <c r="H38" s="71"/>
      <c r="I38" s="71"/>
      <c r="J38" s="71">
        <f>'Раздел II обоснование 2018'!E128</f>
        <v>72000</v>
      </c>
      <c r="K38" s="71">
        <f>'Раздел II обоснование 2019'!E128</f>
        <v>77760</v>
      </c>
      <c r="L38" s="71">
        <f>'Раздел II обоснование 2020'!E128</f>
        <v>77760</v>
      </c>
    </row>
    <row r="39" spans="1:12" s="196" customFormat="1" ht="53.25" customHeight="1" thickBot="1" x14ac:dyDescent="0.3">
      <c r="A39" s="88" t="s">
        <v>389</v>
      </c>
      <c r="B39" s="184"/>
      <c r="C39" s="111"/>
      <c r="D39" s="86">
        <f t="shared" si="0"/>
        <v>100653.64000000001</v>
      </c>
      <c r="E39" s="86">
        <f t="shared" si="0"/>
        <v>54870</v>
      </c>
      <c r="F39" s="86">
        <f t="shared" si="0"/>
        <v>54870</v>
      </c>
      <c r="G39" s="71"/>
      <c r="H39" s="71"/>
      <c r="I39" s="71"/>
      <c r="J39" s="71">
        <f>'Раздел II обоснование 2018'!E129</f>
        <v>100653.64000000001</v>
      </c>
      <c r="K39" s="71">
        <f>'Раздел II обоснование 2019'!E129</f>
        <v>54870</v>
      </c>
      <c r="L39" s="71">
        <f>'Раздел II обоснование 2020'!E129</f>
        <v>54870</v>
      </c>
    </row>
    <row r="40" spans="1:12" s="196" customFormat="1" ht="53.25" customHeight="1" thickBot="1" x14ac:dyDescent="0.3">
      <c r="A40" s="88" t="s">
        <v>326</v>
      </c>
      <c r="B40" s="184"/>
      <c r="C40" s="111"/>
      <c r="D40" s="86">
        <f t="shared" si="0"/>
        <v>30000</v>
      </c>
      <c r="E40" s="86">
        <f t="shared" si="0"/>
        <v>32400</v>
      </c>
      <c r="F40" s="86">
        <f t="shared" si="0"/>
        <v>32400</v>
      </c>
      <c r="G40" s="71"/>
      <c r="H40" s="71"/>
      <c r="I40" s="71"/>
      <c r="J40" s="71">
        <f>'Раздел II обоснование 2018'!E130</f>
        <v>30000</v>
      </c>
      <c r="K40" s="71">
        <f>'Раздел II обоснование 2019'!E130</f>
        <v>32400</v>
      </c>
      <c r="L40" s="71">
        <f>'Раздел II обоснование 2020'!E130</f>
        <v>32400</v>
      </c>
    </row>
    <row r="41" spans="1:12" s="196" customFormat="1" ht="31.5" customHeight="1" thickBot="1" x14ac:dyDescent="0.3">
      <c r="A41" s="88" t="s">
        <v>327</v>
      </c>
      <c r="B41" s="184"/>
      <c r="C41" s="111"/>
      <c r="D41" s="86">
        <f t="shared" si="0"/>
        <v>251500</v>
      </c>
      <c r="E41" s="86">
        <f t="shared" si="0"/>
        <v>235000</v>
      </c>
      <c r="F41" s="86">
        <f t="shared" si="0"/>
        <v>235000</v>
      </c>
      <c r="G41" s="71"/>
      <c r="H41" s="71"/>
      <c r="I41" s="71"/>
      <c r="J41" s="71">
        <f>'Раздел II обоснование 2018'!E131</f>
        <v>251500</v>
      </c>
      <c r="K41" s="71">
        <f>'Раздел II обоснование 2019'!E131</f>
        <v>235000</v>
      </c>
      <c r="L41" s="71">
        <f>'Раздел II обоснование 2020'!E131</f>
        <v>235000</v>
      </c>
    </row>
    <row r="42" spans="1:12" s="196" customFormat="1" ht="47.25" customHeight="1" thickBot="1" x14ac:dyDescent="0.3">
      <c r="A42" s="88" t="s">
        <v>390</v>
      </c>
      <c r="B42" s="184"/>
      <c r="C42" s="111"/>
      <c r="D42" s="86">
        <f t="shared" si="0"/>
        <v>4000</v>
      </c>
      <c r="E42" s="86">
        <f t="shared" si="0"/>
        <v>4000</v>
      </c>
      <c r="F42" s="86">
        <f t="shared" si="0"/>
        <v>4000</v>
      </c>
      <c r="G42" s="71"/>
      <c r="H42" s="71"/>
      <c r="I42" s="71"/>
      <c r="J42" s="71">
        <f>'Раздел II обоснование 2018'!E132</f>
        <v>4000</v>
      </c>
      <c r="K42" s="71">
        <f>'Раздел II обоснование 2019'!E132</f>
        <v>4000</v>
      </c>
      <c r="L42" s="71">
        <f>'Раздел II обоснование 2020'!E132</f>
        <v>4000</v>
      </c>
    </row>
    <row r="43" spans="1:12" s="196" customFormat="1" ht="28.5" customHeight="1" thickBot="1" x14ac:dyDescent="0.3">
      <c r="A43" s="88" t="s">
        <v>322</v>
      </c>
      <c r="B43" s="184"/>
      <c r="C43" s="111"/>
      <c r="D43" s="86">
        <f t="shared" si="0"/>
        <v>7465.92</v>
      </c>
      <c r="E43" s="86">
        <f t="shared" si="0"/>
        <v>8400</v>
      </c>
      <c r="F43" s="86">
        <f t="shared" si="0"/>
        <v>8400</v>
      </c>
      <c r="G43" s="71"/>
      <c r="H43" s="71"/>
      <c r="I43" s="71"/>
      <c r="J43" s="71">
        <f>'Раздел II обоснование 2018'!E125</f>
        <v>7465.92</v>
      </c>
      <c r="K43" s="71">
        <f>'Раздел II обоснование 2019'!E125</f>
        <v>8400</v>
      </c>
      <c r="L43" s="71">
        <f>'Раздел II обоснование 2020'!E125</f>
        <v>8400</v>
      </c>
    </row>
    <row r="44" spans="1:12" s="196" customFormat="1" ht="30.75" customHeight="1" thickBot="1" x14ac:dyDescent="0.3">
      <c r="A44" s="88" t="s">
        <v>346</v>
      </c>
      <c r="B44" s="184"/>
      <c r="C44" s="111"/>
      <c r="D44" s="86">
        <f t="shared" si="0"/>
        <v>0</v>
      </c>
      <c r="E44" s="86">
        <f t="shared" si="0"/>
        <v>310000</v>
      </c>
      <c r="F44" s="86">
        <f t="shared" si="0"/>
        <v>310000</v>
      </c>
      <c r="G44" s="71"/>
      <c r="H44" s="71"/>
      <c r="I44" s="71"/>
      <c r="J44" s="71">
        <f>'Раздел II обоснование 2018'!E133</f>
        <v>0</v>
      </c>
      <c r="K44" s="71">
        <f>'Раздел II обоснование 2019'!E133</f>
        <v>310000</v>
      </c>
      <c r="L44" s="71">
        <f>'Раздел II обоснование 2020'!E133</f>
        <v>310000</v>
      </c>
    </row>
    <row r="45" spans="1:12" s="196" customFormat="1" ht="30.75" customHeight="1" thickBot="1" x14ac:dyDescent="0.3">
      <c r="A45" s="88" t="s">
        <v>329</v>
      </c>
      <c r="B45" s="184"/>
      <c r="C45" s="111"/>
      <c r="D45" s="86">
        <f t="shared" si="0"/>
        <v>24870</v>
      </c>
      <c r="E45" s="86">
        <f t="shared" si="0"/>
        <v>18000</v>
      </c>
      <c r="F45" s="86">
        <f t="shared" si="0"/>
        <v>18000</v>
      </c>
      <c r="G45" s="71"/>
      <c r="H45" s="71"/>
      <c r="I45" s="71"/>
      <c r="J45" s="71">
        <f>'Раздел II обоснование 2018'!E140</f>
        <v>24870</v>
      </c>
      <c r="K45" s="71">
        <f>'Раздел II обоснование 2019'!E138</f>
        <v>18000</v>
      </c>
      <c r="L45" s="71">
        <f>'Раздел II обоснование 2020'!E138</f>
        <v>18000</v>
      </c>
    </row>
    <row r="46" spans="1:12" ht="53.25" customHeight="1" thickBot="1" x14ac:dyDescent="0.3">
      <c r="A46" s="120" t="s">
        <v>418</v>
      </c>
      <c r="B46" s="184"/>
      <c r="C46" s="111"/>
      <c r="D46" s="86">
        <f t="shared" si="0"/>
        <v>82166.86</v>
      </c>
      <c r="E46" s="86">
        <f t="shared" si="0"/>
        <v>34000.080000000002</v>
      </c>
      <c r="F46" s="86">
        <f t="shared" si="0"/>
        <v>34000.080000000002</v>
      </c>
      <c r="G46" s="71"/>
      <c r="H46" s="71"/>
      <c r="I46" s="71"/>
      <c r="J46" s="71">
        <f>'Раздел II обоснование 2018'!E134</f>
        <v>82166.86</v>
      </c>
      <c r="K46" s="71">
        <f>'Раздел II обоснование 2019'!E134</f>
        <v>34000.080000000002</v>
      </c>
      <c r="L46" s="71">
        <f>'Раздел II обоснование 2020'!E134</f>
        <v>34000.080000000002</v>
      </c>
    </row>
    <row r="47" spans="1:12" ht="53.25" customHeight="1" thickBot="1" x14ac:dyDescent="0.3">
      <c r="A47" s="88" t="s">
        <v>410</v>
      </c>
      <c r="B47" s="184"/>
      <c r="C47" s="111"/>
      <c r="D47" s="86">
        <f t="shared" si="0"/>
        <v>35000</v>
      </c>
      <c r="E47" s="86">
        <f t="shared" si="0"/>
        <v>50000</v>
      </c>
      <c r="F47" s="86">
        <f t="shared" si="0"/>
        <v>50000</v>
      </c>
      <c r="G47" s="71"/>
      <c r="H47" s="71"/>
      <c r="I47" s="71"/>
      <c r="J47" s="71">
        <f>'Раздел II обоснование 2018'!E141</f>
        <v>35000</v>
      </c>
      <c r="K47" s="71">
        <f>'Раздел II обоснование 2019'!E136</f>
        <v>50000</v>
      </c>
      <c r="L47" s="71">
        <f>'Раздел II обоснование 2020'!E136</f>
        <v>50000</v>
      </c>
    </row>
    <row r="48" spans="1:12" s="196" customFormat="1" ht="29.25" customHeight="1" thickBot="1" x14ac:dyDescent="0.3">
      <c r="A48" s="88" t="s">
        <v>330</v>
      </c>
      <c r="B48" s="184"/>
      <c r="C48" s="111"/>
      <c r="D48" s="86">
        <f t="shared" si="0"/>
        <v>31918.33</v>
      </c>
      <c r="E48" s="86">
        <f t="shared" si="0"/>
        <v>34000</v>
      </c>
      <c r="F48" s="86">
        <f t="shared" si="0"/>
        <v>34000</v>
      </c>
      <c r="G48" s="71"/>
      <c r="H48" s="71"/>
      <c r="I48" s="71"/>
      <c r="J48" s="71">
        <f>'Раздел II обоснование 2018'!E135</f>
        <v>31918.33</v>
      </c>
      <c r="K48" s="71">
        <f>'Раздел II обоснование 2019'!E135</f>
        <v>34000</v>
      </c>
      <c r="L48" s="71">
        <f>'Раздел II обоснование 2020'!E135</f>
        <v>34000</v>
      </c>
    </row>
    <row r="49" spans="1:12" s="196" customFormat="1" ht="29.25" customHeight="1" thickBot="1" x14ac:dyDescent="0.3">
      <c r="A49" s="120" t="s">
        <v>379</v>
      </c>
      <c r="B49" s="184"/>
      <c r="C49" s="111"/>
      <c r="D49" s="86">
        <f t="shared" si="0"/>
        <v>381753.64999999991</v>
      </c>
      <c r="E49" s="86">
        <f t="shared" si="0"/>
        <v>201669.92</v>
      </c>
      <c r="F49" s="86">
        <f t="shared" si="0"/>
        <v>201669.92</v>
      </c>
      <c r="G49" s="71"/>
      <c r="H49" s="71"/>
      <c r="I49" s="71"/>
      <c r="J49" s="71">
        <f>'Раздел II обоснование 2018'!E143</f>
        <v>381753.64999999991</v>
      </c>
      <c r="K49" s="71">
        <f>'Раздел II обоснование 2019'!E137</f>
        <v>201669.92</v>
      </c>
      <c r="L49" s="71">
        <f>'Раздел II обоснование 2020'!E137</f>
        <v>201669.92</v>
      </c>
    </row>
    <row r="50" spans="1:12" s="196" customFormat="1" ht="29.25" customHeight="1" thickBot="1" x14ac:dyDescent="0.3">
      <c r="A50" s="120" t="s">
        <v>419</v>
      </c>
      <c r="B50" s="184"/>
      <c r="C50" s="111"/>
      <c r="D50" s="86">
        <f t="shared" si="0"/>
        <v>173994.56</v>
      </c>
      <c r="E50" s="86">
        <f t="shared" si="0"/>
        <v>160000</v>
      </c>
      <c r="F50" s="86">
        <f t="shared" si="0"/>
        <v>160000</v>
      </c>
      <c r="G50" s="71"/>
      <c r="H50" s="71"/>
      <c r="I50" s="71"/>
      <c r="J50" s="71">
        <f>'Раздел II обоснование 2018'!E142</f>
        <v>173994.56</v>
      </c>
      <c r="K50" s="71">
        <f>'Раздел II обоснование 2019'!E139</f>
        <v>160000</v>
      </c>
      <c r="L50" s="71">
        <f>'Раздел II обоснование 2020'!E139</f>
        <v>160000</v>
      </c>
    </row>
    <row r="51" spans="1:12" s="196" customFormat="1" ht="45.75" customHeight="1" thickBot="1" x14ac:dyDescent="0.3">
      <c r="A51" s="120" t="s">
        <v>421</v>
      </c>
      <c r="B51" s="184"/>
      <c r="C51" s="111"/>
      <c r="D51" s="86">
        <f t="shared" si="0"/>
        <v>0</v>
      </c>
      <c r="E51" s="86">
        <f t="shared" si="0"/>
        <v>10000</v>
      </c>
      <c r="F51" s="86">
        <f t="shared" si="0"/>
        <v>10000</v>
      </c>
      <c r="G51" s="71"/>
      <c r="H51" s="71"/>
      <c r="I51" s="71"/>
      <c r="J51" s="71">
        <f>'Раздел II обоснование 2018'!E144</f>
        <v>0</v>
      </c>
      <c r="K51" s="71">
        <f>'Раздел II обоснование 2019'!E140</f>
        <v>10000</v>
      </c>
      <c r="L51" s="71">
        <f>'Раздел II обоснование 2020'!E140</f>
        <v>10000</v>
      </c>
    </row>
    <row r="52" spans="1:12" s="196" customFormat="1" ht="27" customHeight="1" thickBot="1" x14ac:dyDescent="0.3">
      <c r="A52" s="69" t="s">
        <v>331</v>
      </c>
      <c r="B52" s="184"/>
      <c r="C52" s="111"/>
      <c r="D52" s="86">
        <f t="shared" si="0"/>
        <v>75060.960000000006</v>
      </c>
      <c r="E52" s="86">
        <f t="shared" si="0"/>
        <v>81000</v>
      </c>
      <c r="F52" s="86">
        <f t="shared" si="0"/>
        <v>81000</v>
      </c>
      <c r="G52" s="71"/>
      <c r="H52" s="71"/>
      <c r="I52" s="71"/>
      <c r="J52" s="71">
        <f>'Раздел II обоснование 2018'!D151</f>
        <v>75060.960000000006</v>
      </c>
      <c r="K52" s="71">
        <f>'Раздел II обоснование 2019'!D147</f>
        <v>81000</v>
      </c>
      <c r="L52" s="71">
        <f>'Раздел II обоснование 2020'!D147</f>
        <v>81000</v>
      </c>
    </row>
    <row r="53" spans="1:12" s="196" customFormat="1" ht="25.5" customHeight="1" thickBot="1" x14ac:dyDescent="0.3">
      <c r="A53" s="69" t="s">
        <v>395</v>
      </c>
      <c r="B53" s="184"/>
      <c r="C53" s="111"/>
      <c r="D53" s="86">
        <f t="shared" si="0"/>
        <v>280223</v>
      </c>
      <c r="E53" s="86">
        <f t="shared" si="0"/>
        <v>128300</v>
      </c>
      <c r="F53" s="86">
        <f t="shared" si="0"/>
        <v>128300</v>
      </c>
      <c r="G53" s="71"/>
      <c r="H53" s="71"/>
      <c r="I53" s="71"/>
      <c r="J53" s="71">
        <f>'Раздел II обоснование 2018'!D153</f>
        <v>280223</v>
      </c>
      <c r="K53" s="71">
        <f>'Раздел II обоснование 2019'!D149</f>
        <v>128300</v>
      </c>
      <c r="L53" s="71">
        <f>'Раздел II обоснование 2020'!D149</f>
        <v>128300</v>
      </c>
    </row>
    <row r="54" spans="1:12" s="196" customFormat="1" ht="25.5" customHeight="1" thickBot="1" x14ac:dyDescent="0.3">
      <c r="A54" s="69" t="s">
        <v>396</v>
      </c>
      <c r="B54" s="184"/>
      <c r="C54" s="111"/>
      <c r="D54" s="86">
        <f t="shared" si="0"/>
        <v>120000</v>
      </c>
      <c r="E54" s="86">
        <f t="shared" si="0"/>
        <v>120000</v>
      </c>
      <c r="F54" s="86">
        <f t="shared" si="0"/>
        <v>120000</v>
      </c>
      <c r="G54" s="71"/>
      <c r="H54" s="71"/>
      <c r="I54" s="71"/>
      <c r="J54" s="71">
        <f>'Раздел II обоснование 2018'!D154</f>
        <v>120000</v>
      </c>
      <c r="K54" s="71">
        <f>'Раздел II обоснование 2019'!D150</f>
        <v>120000</v>
      </c>
      <c r="L54" s="71">
        <f>'Раздел II обоснование 2020'!D150</f>
        <v>120000</v>
      </c>
    </row>
    <row r="55" spans="1:12" s="196" customFormat="1" ht="25.5" customHeight="1" thickBot="1" x14ac:dyDescent="0.3">
      <c r="A55" s="69" t="s">
        <v>370</v>
      </c>
      <c r="B55" s="184"/>
      <c r="C55" s="111"/>
      <c r="D55" s="86">
        <f t="shared" si="0"/>
        <v>107226.06</v>
      </c>
      <c r="E55" s="86">
        <f t="shared" si="0"/>
        <v>60000</v>
      </c>
      <c r="F55" s="86">
        <f t="shared" si="0"/>
        <v>60000</v>
      </c>
      <c r="G55" s="71"/>
      <c r="H55" s="71"/>
      <c r="I55" s="71"/>
      <c r="J55" s="71">
        <f>'Раздел II обоснование 2018'!D155</f>
        <v>107226.06</v>
      </c>
      <c r="K55" s="71">
        <f>'Раздел II обоснование 2019'!D151</f>
        <v>60000</v>
      </c>
      <c r="L55" s="71">
        <f>'Раздел II обоснование 2020'!D151</f>
        <v>60000</v>
      </c>
    </row>
    <row r="56" spans="1:12" s="196" customFormat="1" ht="24.75" customHeight="1" thickBot="1" x14ac:dyDescent="0.3">
      <c r="A56" s="69" t="s">
        <v>397</v>
      </c>
      <c r="B56" s="184"/>
      <c r="C56" s="111"/>
      <c r="D56" s="86">
        <f t="shared" si="0"/>
        <v>15755.32</v>
      </c>
      <c r="E56" s="86">
        <f t="shared" si="0"/>
        <v>144000</v>
      </c>
      <c r="F56" s="86">
        <f t="shared" si="0"/>
        <v>144000</v>
      </c>
      <c r="G56" s="71"/>
      <c r="H56" s="71"/>
      <c r="I56" s="71"/>
      <c r="J56" s="71">
        <f>'Раздел II обоснование 2018'!D157</f>
        <v>15755.32</v>
      </c>
      <c r="K56" s="71">
        <f>'Раздел II обоснование 2019'!D153</f>
        <v>144000</v>
      </c>
      <c r="L56" s="71">
        <f>'Раздел II обоснование 2020'!D153</f>
        <v>144000</v>
      </c>
    </row>
    <row r="57" spans="1:12" s="196" customFormat="1" ht="27" customHeight="1" thickBot="1" x14ac:dyDescent="0.3">
      <c r="A57" s="69" t="s">
        <v>394</v>
      </c>
      <c r="B57" s="184"/>
      <c r="C57" s="111"/>
      <c r="D57" s="86">
        <f t="shared" si="0"/>
        <v>18718.09</v>
      </c>
      <c r="E57" s="86">
        <f t="shared" si="0"/>
        <v>30000</v>
      </c>
      <c r="F57" s="86">
        <f t="shared" si="0"/>
        <v>30000</v>
      </c>
      <c r="G57" s="71"/>
      <c r="H57" s="71"/>
      <c r="I57" s="71"/>
      <c r="J57" s="71">
        <f>'Раздел II обоснование 2018'!D156</f>
        <v>18718.09</v>
      </c>
      <c r="K57" s="71">
        <f>'Раздел II обоснование 2019'!D152</f>
        <v>30000</v>
      </c>
      <c r="L57" s="71">
        <f>'Раздел II обоснование 2020'!D152</f>
        <v>30000</v>
      </c>
    </row>
    <row r="58" spans="1:12" s="196" customFormat="1" ht="20.25" customHeight="1" thickBot="1" x14ac:dyDescent="0.3">
      <c r="A58" s="69" t="s">
        <v>371</v>
      </c>
      <c r="B58" s="184"/>
      <c r="C58" s="111"/>
      <c r="D58" s="86">
        <f t="shared" si="0"/>
        <v>168248.63</v>
      </c>
      <c r="E58" s="86">
        <f t="shared" si="0"/>
        <v>160000</v>
      </c>
      <c r="F58" s="86">
        <f>L58</f>
        <v>160000</v>
      </c>
      <c r="G58" s="71"/>
      <c r="H58" s="71"/>
      <c r="I58" s="71"/>
      <c r="J58" s="71">
        <f>'Раздел II обоснование 2018'!D158</f>
        <v>168248.63</v>
      </c>
      <c r="K58" s="71">
        <f>'Раздел II обоснование 2019'!D154</f>
        <v>160000</v>
      </c>
      <c r="L58" s="71">
        <f>'Раздел II обоснование 2020'!D154</f>
        <v>160000</v>
      </c>
    </row>
    <row r="59" spans="1:12" s="196" customFormat="1" ht="20.25" customHeight="1" thickBot="1" x14ac:dyDescent="0.3">
      <c r="A59" s="69" t="s">
        <v>433</v>
      </c>
      <c r="B59" s="184"/>
      <c r="C59" s="111"/>
      <c r="D59" s="86">
        <f>J59</f>
        <v>40000</v>
      </c>
      <c r="E59" s="86"/>
      <c r="F59" s="86"/>
      <c r="G59" s="71"/>
      <c r="H59" s="71"/>
      <c r="I59" s="71"/>
      <c r="J59" s="71">
        <f>'Раздел II обоснование 2018'!D159</f>
        <v>40000</v>
      </c>
      <c r="K59" s="71"/>
      <c r="L59" s="71"/>
    </row>
    <row r="60" spans="1:12" s="196" customFormat="1" ht="20.25" customHeight="1" thickBot="1" x14ac:dyDescent="0.3">
      <c r="A60" s="69" t="s">
        <v>332</v>
      </c>
      <c r="B60" s="184"/>
      <c r="C60" s="111"/>
      <c r="D60" s="86">
        <f t="shared" si="0"/>
        <v>0</v>
      </c>
      <c r="E60" s="86">
        <f t="shared" si="0"/>
        <v>60000</v>
      </c>
      <c r="F60" s="86">
        <f t="shared" si="0"/>
        <v>60000</v>
      </c>
      <c r="G60" s="71"/>
      <c r="H60" s="71"/>
      <c r="I60" s="71"/>
      <c r="J60" s="71">
        <f>'Раздел II обоснование 2018'!D152</f>
        <v>0</v>
      </c>
      <c r="K60" s="71">
        <f>'Раздел II обоснование 2019'!D148</f>
        <v>60000</v>
      </c>
      <c r="L60" s="71">
        <f>'Раздел II обоснование 2020'!D148</f>
        <v>60000</v>
      </c>
    </row>
    <row r="61" spans="1:12" s="197" customFormat="1" ht="57" customHeight="1" thickBot="1" x14ac:dyDescent="0.3">
      <c r="A61" s="69" t="s">
        <v>434</v>
      </c>
      <c r="B61" s="184"/>
      <c r="C61" s="111"/>
      <c r="D61" s="86">
        <f t="shared" ref="D61:F63" si="1">J61</f>
        <v>1709386.25</v>
      </c>
      <c r="E61" s="86">
        <f t="shared" si="1"/>
        <v>0</v>
      </c>
      <c r="F61" s="86">
        <f t="shared" si="1"/>
        <v>0</v>
      </c>
      <c r="G61" s="71"/>
      <c r="H61" s="71"/>
      <c r="I61" s="71"/>
      <c r="J61" s="71">
        <f>'Раздел I 2018'!F56</f>
        <v>1709386.25</v>
      </c>
      <c r="K61" s="71">
        <v>0</v>
      </c>
      <c r="L61" s="71">
        <v>0</v>
      </c>
    </row>
    <row r="62" spans="1:12" s="197" customFormat="1" ht="57" customHeight="1" thickBot="1" x14ac:dyDescent="0.3">
      <c r="A62" s="69" t="s">
        <v>437</v>
      </c>
      <c r="B62" s="184"/>
      <c r="C62" s="111"/>
      <c r="D62" s="86"/>
      <c r="E62" s="86"/>
      <c r="F62" s="86"/>
      <c r="G62" s="71"/>
      <c r="H62" s="71"/>
      <c r="I62" s="71"/>
      <c r="J62" s="71">
        <f>'Раздел I 2018'!F59</f>
        <v>46267.5</v>
      </c>
      <c r="K62" s="71">
        <v>0</v>
      </c>
      <c r="L62" s="71">
        <v>0</v>
      </c>
    </row>
    <row r="63" spans="1:12" s="197" customFormat="1" ht="39" customHeight="1" thickBot="1" x14ac:dyDescent="0.3">
      <c r="A63" s="198" t="s">
        <v>422</v>
      </c>
      <c r="B63" s="184"/>
      <c r="C63" s="111"/>
      <c r="D63" s="86">
        <f t="shared" si="1"/>
        <v>455000</v>
      </c>
      <c r="E63" s="86">
        <f t="shared" si="1"/>
        <v>0</v>
      </c>
      <c r="F63" s="86">
        <f t="shared" si="1"/>
        <v>0</v>
      </c>
      <c r="G63" s="71"/>
      <c r="H63" s="71"/>
      <c r="I63" s="71"/>
      <c r="J63" s="71">
        <f>'Раздел I 2018'!F58</f>
        <v>455000</v>
      </c>
      <c r="K63" s="71">
        <v>0</v>
      </c>
      <c r="L63" s="71">
        <v>0</v>
      </c>
    </row>
    <row r="64" spans="1:12" s="196" customFormat="1" ht="63" customHeight="1" thickBot="1" x14ac:dyDescent="0.3">
      <c r="A64" s="198" t="s">
        <v>405</v>
      </c>
      <c r="B64" s="184"/>
      <c r="C64" s="111"/>
      <c r="D64" s="86">
        <f t="shared" si="0"/>
        <v>127648</v>
      </c>
      <c r="E64" s="86">
        <f t="shared" si="0"/>
        <v>120000</v>
      </c>
      <c r="F64" s="86">
        <f t="shared" si="0"/>
        <v>120000</v>
      </c>
      <c r="G64" s="71"/>
      <c r="H64" s="71"/>
      <c r="I64" s="71"/>
      <c r="J64" s="71">
        <f>'Раздел II обоснование 2018'!E166</f>
        <v>127648</v>
      </c>
      <c r="K64" s="71">
        <f>'Раздел II обоснование 2019'!E161</f>
        <v>120000</v>
      </c>
      <c r="L64" s="71">
        <f>'Раздел II обоснование 2020'!E161</f>
        <v>120000</v>
      </c>
    </row>
    <row r="65" spans="1:12" s="196" customFormat="1" ht="38.25" hidden="1" customHeight="1" thickBot="1" x14ac:dyDescent="0.3">
      <c r="A65" s="199" t="s">
        <v>341</v>
      </c>
      <c r="B65" s="184"/>
      <c r="C65" s="111"/>
      <c r="D65" s="86">
        <f t="shared" si="0"/>
        <v>183788</v>
      </c>
      <c r="E65" s="86">
        <f t="shared" si="0"/>
        <v>700000</v>
      </c>
      <c r="F65" s="86">
        <f t="shared" si="0"/>
        <v>700000</v>
      </c>
      <c r="G65" s="71"/>
      <c r="H65" s="71"/>
      <c r="I65" s="71"/>
      <c r="J65" s="235">
        <f>'Раздел II обоснование 2018'!E167</f>
        <v>183788</v>
      </c>
      <c r="K65" s="234">
        <f>'Раздел II обоснование 2019'!E162</f>
        <v>700000</v>
      </c>
      <c r="L65" s="234">
        <f>'Раздел II обоснование 2020'!E162</f>
        <v>700000</v>
      </c>
    </row>
    <row r="66" spans="1:12" s="197" customFormat="1" ht="63" customHeight="1" thickBot="1" x14ac:dyDescent="0.3">
      <c r="A66" s="69" t="s">
        <v>398</v>
      </c>
      <c r="B66" s="184"/>
      <c r="C66" s="111"/>
      <c r="D66" s="86">
        <f t="shared" si="0"/>
        <v>0</v>
      </c>
      <c r="E66" s="86">
        <f t="shared" si="0"/>
        <v>0</v>
      </c>
      <c r="F66" s="86">
        <f t="shared" si="0"/>
        <v>0</v>
      </c>
      <c r="G66" s="71"/>
      <c r="H66" s="71"/>
      <c r="I66" s="71"/>
      <c r="J66" s="71">
        <v>0</v>
      </c>
      <c r="K66" s="71">
        <v>0</v>
      </c>
      <c r="L66" s="71">
        <v>0</v>
      </c>
    </row>
    <row r="67" spans="1:12" s="196" customFormat="1" ht="42.75" customHeight="1" thickBot="1" x14ac:dyDescent="0.3">
      <c r="A67" s="69" t="s">
        <v>340</v>
      </c>
      <c r="B67" s="184"/>
      <c r="C67" s="111"/>
      <c r="D67" s="86">
        <f t="shared" si="0"/>
        <v>728308.14</v>
      </c>
      <c r="E67" s="86">
        <f t="shared" si="0"/>
        <v>135000</v>
      </c>
      <c r="F67" s="86">
        <f t="shared" si="0"/>
        <v>135000</v>
      </c>
      <c r="G67" s="71"/>
      <c r="H67" s="71"/>
      <c r="I67" s="71"/>
      <c r="J67" s="205">
        <f>'Раздел II обоснование 2018'!E169</f>
        <v>728308.14</v>
      </c>
      <c r="K67" s="71">
        <f>'Раздел II обоснование 2019'!E164</f>
        <v>135000</v>
      </c>
      <c r="L67" s="71">
        <f>'Раздел II обоснование 2020'!E164</f>
        <v>135000</v>
      </c>
    </row>
    <row r="68" spans="1:12" s="196" customFormat="1" ht="84" hidden="1" customHeight="1" thickBot="1" x14ac:dyDescent="0.3">
      <c r="A68" s="69" t="s">
        <v>399</v>
      </c>
      <c r="B68" s="184"/>
      <c r="C68" s="111"/>
      <c r="D68" s="86">
        <f t="shared" si="0"/>
        <v>8107419.8600000003</v>
      </c>
      <c r="E68" s="86">
        <f t="shared" si="0"/>
        <v>8013201.6689938009</v>
      </c>
      <c r="F68" s="86">
        <f t="shared" si="0"/>
        <v>8013201.6689938009</v>
      </c>
      <c r="G68" s="71"/>
      <c r="H68" s="71"/>
      <c r="I68" s="71"/>
      <c r="J68" s="71">
        <f>'Раздел II обоснование 2018'!E170+'Раздел I 2018'!H59</f>
        <v>8107419.8600000003</v>
      </c>
      <c r="K68" s="71">
        <f>'Раздел II обоснование 2019'!E165+'Раздел I 2019'!H59</f>
        <v>8013201.6689938009</v>
      </c>
      <c r="L68" s="71">
        <f>'Раздел II обоснование 2020'!E165+'Раздел I 2020'!H59</f>
        <v>8013201.6689938009</v>
      </c>
    </row>
    <row r="69" spans="1:12" s="196" customFormat="1" ht="78.75" customHeight="1" thickBot="1" x14ac:dyDescent="0.3">
      <c r="A69" s="69" t="s">
        <v>400</v>
      </c>
      <c r="B69" s="184"/>
      <c r="C69" s="111"/>
      <c r="D69" s="86">
        <f t="shared" si="0"/>
        <v>0</v>
      </c>
      <c r="E69" s="86">
        <f t="shared" si="0"/>
        <v>0</v>
      </c>
      <c r="F69" s="86">
        <f t="shared" si="0"/>
        <v>0</v>
      </c>
      <c r="G69" s="71"/>
      <c r="H69" s="71"/>
      <c r="I69" s="71"/>
      <c r="J69" s="71">
        <v>0</v>
      </c>
      <c r="K69" s="71">
        <v>0</v>
      </c>
      <c r="L69" s="71">
        <v>0</v>
      </c>
    </row>
    <row r="70" spans="1:12" ht="38.25" thickBot="1" x14ac:dyDescent="0.3">
      <c r="A70" s="69" t="s">
        <v>412</v>
      </c>
      <c r="B70" s="184"/>
      <c r="C70" s="111"/>
      <c r="D70" s="86">
        <f t="shared" si="0"/>
        <v>258812.99</v>
      </c>
      <c r="E70" s="86">
        <f t="shared" si="0"/>
        <v>0</v>
      </c>
      <c r="F70" s="86">
        <f t="shared" si="0"/>
        <v>0</v>
      </c>
      <c r="G70" s="71"/>
      <c r="H70" s="71"/>
      <c r="I70" s="71"/>
      <c r="J70" s="158">
        <f>'Раздел II обоснование 2018'!E171</f>
        <v>258812.99</v>
      </c>
      <c r="K70" s="71">
        <f>'Раздел II обоснование 2019'!E166</f>
        <v>0</v>
      </c>
      <c r="L70" s="71">
        <f>'Раздел II обоснование 2020'!E166</f>
        <v>0</v>
      </c>
    </row>
    <row r="73" spans="1:12" ht="18.75" x14ac:dyDescent="0.25">
      <c r="A73" s="200"/>
    </row>
    <row r="74" spans="1:12" ht="18.75" x14ac:dyDescent="0.25">
      <c r="A74" s="200"/>
    </row>
    <row r="78" spans="1:12" x14ac:dyDescent="0.25">
      <c r="E78" s="186"/>
    </row>
  </sheetData>
  <mergeCells count="10">
    <mergeCell ref="A1:L1"/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hyperlinks>
    <hyperlink ref="G6" r:id="rId1" display="consultantplus://offline/ref=EC513630DD0A2F9B2EC0205798B851993A5256DB8AC84308CDDA19182EHCNCC"/>
    <hyperlink ref="J6" r:id="rId2" display="consultantplus://offline/ref=EC513630DD0A2F9B2EC0205798B851993A5256DC8DCE4308CDDA19182EHCNCC"/>
  </hyperlinks>
  <pageMargins left="0.70866141732283472" right="0.70866141732283472" top="0.74803149606299213" bottom="0.74803149606299213" header="0.31496062992125984" footer="0.31496062992125984"/>
  <pageSetup paperSize="9" scale="45" orientation="landscape" r:id="rId3"/>
  <rowBreaks count="1" manualBreakCount="1">
    <brk id="4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view="pageBreakPreview" zoomScale="60" zoomScaleNormal="55" workbookViewId="0">
      <selection activeCell="E23" sqref="E23"/>
    </sheetView>
  </sheetViews>
  <sheetFormatPr defaultColWidth="28.85546875" defaultRowHeight="15" x14ac:dyDescent="0.25"/>
  <cols>
    <col min="1" max="1" width="38.85546875" style="93" customWidth="1"/>
    <col min="2" max="2" width="9.5703125" style="93" customWidth="1"/>
    <col min="3" max="3" width="27.7109375" style="93" customWidth="1"/>
    <col min="4" max="4" width="32.140625" style="93" customWidth="1"/>
    <col min="5" max="5" width="21.5703125" style="93" customWidth="1"/>
    <col min="6" max="7" width="18.5703125" style="93" customWidth="1"/>
    <col min="8" max="8" width="20.28515625" style="93" customWidth="1"/>
    <col min="9" max="9" width="22.28515625" style="93" customWidth="1"/>
    <col min="10" max="10" width="15.42578125" style="93" customWidth="1"/>
    <col min="11" max="11" width="16.85546875" style="93" customWidth="1"/>
    <col min="12" max="12" width="23.85546875" style="93" customWidth="1"/>
    <col min="13" max="13" width="36.42578125" style="93" customWidth="1"/>
    <col min="14" max="16384" width="28.85546875" style="93"/>
  </cols>
  <sheetData>
    <row r="1" spans="1:12" s="182" customFormat="1" x14ac:dyDescent="0.25">
      <c r="E1" s="99"/>
      <c r="F1" s="99"/>
      <c r="G1" s="99"/>
      <c r="H1" s="99"/>
      <c r="J1" s="99"/>
      <c r="K1" s="99"/>
      <c r="L1" s="99"/>
    </row>
    <row r="2" spans="1:12" s="182" customFormat="1" ht="45" customHeight="1" x14ac:dyDescent="0.25">
      <c r="B2" s="321" t="s">
        <v>110</v>
      </c>
      <c r="C2" s="321"/>
      <c r="D2" s="321"/>
      <c r="E2" s="321"/>
      <c r="F2" s="321"/>
      <c r="G2" s="99"/>
      <c r="H2" s="99"/>
      <c r="J2" s="99"/>
      <c r="K2" s="99"/>
      <c r="L2" s="99"/>
    </row>
    <row r="3" spans="1:12" s="182" customFormat="1" ht="18.75" customHeight="1" x14ac:dyDescent="0.25">
      <c r="B3" s="321" t="s">
        <v>407</v>
      </c>
      <c r="C3" s="321"/>
      <c r="D3" s="321"/>
      <c r="E3" s="321"/>
      <c r="F3" s="321"/>
      <c r="G3" s="99"/>
      <c r="H3" s="99"/>
      <c r="J3" s="99"/>
      <c r="K3" s="99"/>
      <c r="L3" s="99"/>
    </row>
    <row r="4" spans="1:12" s="182" customFormat="1" x14ac:dyDescent="0.25">
      <c r="B4" s="275" t="s">
        <v>109</v>
      </c>
      <c r="C4" s="275"/>
      <c r="D4" s="275"/>
      <c r="E4" s="275"/>
      <c r="F4" s="275"/>
      <c r="G4" s="99"/>
      <c r="H4" s="99"/>
      <c r="J4" s="99"/>
      <c r="K4" s="99"/>
      <c r="L4" s="99"/>
    </row>
    <row r="5" spans="1:12" s="182" customFormat="1" ht="19.5" thickBot="1" x14ac:dyDescent="0.3">
      <c r="B5" s="124"/>
      <c r="C5" s="124"/>
      <c r="D5" s="124"/>
      <c r="E5" s="99" t="s">
        <v>111</v>
      </c>
      <c r="F5" s="94"/>
      <c r="G5" s="99"/>
      <c r="H5" s="99"/>
      <c r="J5" s="99"/>
      <c r="K5" s="99"/>
      <c r="L5" s="99"/>
    </row>
    <row r="6" spans="1:12" s="182" customFormat="1" ht="18.75" x14ac:dyDescent="0.25">
      <c r="C6" s="289" t="s">
        <v>1</v>
      </c>
      <c r="D6" s="289" t="s">
        <v>41</v>
      </c>
      <c r="E6" s="140" t="s">
        <v>105</v>
      </c>
      <c r="F6" s="99"/>
      <c r="G6" s="99"/>
      <c r="H6" s="99"/>
      <c r="J6" s="99"/>
      <c r="K6" s="99"/>
      <c r="L6" s="99"/>
    </row>
    <row r="7" spans="1:12" s="182" customFormat="1" ht="94.5" thickBot="1" x14ac:dyDescent="0.3">
      <c r="C7" s="281"/>
      <c r="D7" s="281"/>
      <c r="E7" s="96" t="s">
        <v>106</v>
      </c>
      <c r="F7" s="99"/>
      <c r="G7" s="99"/>
      <c r="H7" s="99"/>
      <c r="J7" s="99"/>
      <c r="K7" s="99"/>
      <c r="L7" s="99"/>
    </row>
    <row r="8" spans="1:12" s="182" customFormat="1" ht="19.5" thickBot="1" x14ac:dyDescent="0.3">
      <c r="C8" s="180">
        <v>1</v>
      </c>
      <c r="D8" s="184">
        <v>2</v>
      </c>
      <c r="E8" s="96">
        <v>3</v>
      </c>
      <c r="F8" s="99"/>
      <c r="G8" s="99"/>
      <c r="H8" s="99"/>
      <c r="J8" s="99"/>
      <c r="K8" s="99"/>
      <c r="L8" s="99"/>
    </row>
    <row r="9" spans="1:12" s="182" customFormat="1" ht="38.25" thickBot="1" x14ac:dyDescent="0.3">
      <c r="C9" s="69" t="s">
        <v>50</v>
      </c>
      <c r="D9" s="82" t="s">
        <v>264</v>
      </c>
      <c r="E9" s="141">
        <v>0</v>
      </c>
      <c r="F9" s="99"/>
      <c r="G9" s="99"/>
      <c r="H9" s="99"/>
      <c r="J9" s="99"/>
      <c r="K9" s="99"/>
      <c r="L9" s="99"/>
    </row>
    <row r="10" spans="1:12" s="182" customFormat="1" ht="38.25" thickBot="1" x14ac:dyDescent="0.3">
      <c r="C10" s="69" t="s">
        <v>90</v>
      </c>
      <c r="D10" s="82" t="s">
        <v>275</v>
      </c>
      <c r="E10" s="142"/>
      <c r="F10" s="99"/>
      <c r="G10" s="99"/>
      <c r="H10" s="99"/>
      <c r="J10" s="99"/>
      <c r="K10" s="99"/>
      <c r="L10" s="99"/>
    </row>
    <row r="11" spans="1:12" s="182" customFormat="1" ht="19.5" thickBot="1" x14ac:dyDescent="0.3">
      <c r="C11" s="69" t="s">
        <v>107</v>
      </c>
      <c r="D11" s="82" t="s">
        <v>285</v>
      </c>
      <c r="E11" s="142"/>
      <c r="F11" s="99"/>
      <c r="G11" s="99"/>
      <c r="H11" s="99"/>
      <c r="J11" s="99"/>
      <c r="K11" s="99"/>
      <c r="L11" s="99"/>
    </row>
    <row r="12" spans="1:12" s="182" customFormat="1" ht="19.5" thickBot="1" x14ac:dyDescent="0.3">
      <c r="C12" s="69"/>
      <c r="D12" s="131"/>
      <c r="E12" s="142"/>
      <c r="F12" s="99"/>
      <c r="G12" s="99"/>
      <c r="H12" s="99"/>
      <c r="J12" s="99"/>
      <c r="K12" s="99"/>
      <c r="L12" s="99"/>
    </row>
    <row r="13" spans="1:12" s="182" customFormat="1" ht="19.5" thickBot="1" x14ac:dyDescent="0.3">
      <c r="C13" s="69" t="s">
        <v>108</v>
      </c>
      <c r="D13" s="82" t="s">
        <v>295</v>
      </c>
      <c r="E13" s="141">
        <v>0</v>
      </c>
      <c r="F13" s="99"/>
      <c r="G13" s="99"/>
      <c r="H13" s="99"/>
      <c r="J13" s="99"/>
      <c r="K13" s="99"/>
      <c r="L13" s="99"/>
    </row>
    <row r="14" spans="1:12" s="182" customFormat="1" ht="19.5" thickBot="1" x14ac:dyDescent="0.3">
      <c r="C14" s="69"/>
      <c r="D14" s="111"/>
      <c r="E14" s="142"/>
      <c r="F14" s="99"/>
      <c r="G14" s="99"/>
      <c r="H14" s="99"/>
      <c r="J14" s="99"/>
      <c r="K14" s="99"/>
      <c r="L14" s="99"/>
    </row>
    <row r="15" spans="1:12" s="182" customFormat="1" x14ac:dyDescent="0.25">
      <c r="E15" s="99"/>
      <c r="F15" s="99"/>
      <c r="G15" s="99"/>
      <c r="H15" s="99"/>
      <c r="J15" s="99"/>
      <c r="K15" s="99"/>
      <c r="L15" s="99"/>
    </row>
    <row r="16" spans="1:12" s="182" customFormat="1" ht="18.75" x14ac:dyDescent="0.25">
      <c r="A16" s="115"/>
      <c r="E16" s="99"/>
      <c r="F16" s="99"/>
      <c r="G16" s="99"/>
      <c r="H16" s="99"/>
      <c r="J16" s="99"/>
      <c r="K16" s="99"/>
      <c r="L16" s="99"/>
    </row>
    <row r="17" spans="1:12" s="182" customFormat="1" ht="83.25" customHeight="1" x14ac:dyDescent="0.3">
      <c r="A17" s="322" t="s">
        <v>308</v>
      </c>
      <c r="B17" s="322"/>
      <c r="C17" s="323" t="s">
        <v>425</v>
      </c>
      <c r="D17" s="323"/>
      <c r="E17" s="324" t="s">
        <v>427</v>
      </c>
      <c r="F17" s="324"/>
      <c r="G17" s="99"/>
      <c r="H17" s="99"/>
      <c r="J17" s="99"/>
      <c r="K17" s="99"/>
      <c r="L17" s="99"/>
    </row>
    <row r="18" spans="1:12" s="182" customFormat="1" ht="26.25" customHeight="1" x14ac:dyDescent="0.25">
      <c r="A18" s="115" t="s">
        <v>118</v>
      </c>
      <c r="C18" s="320" t="s">
        <v>116</v>
      </c>
      <c r="D18" s="320"/>
      <c r="E18" s="99"/>
      <c r="F18" s="99"/>
      <c r="G18" s="99"/>
      <c r="H18" s="99"/>
      <c r="J18" s="99"/>
      <c r="K18" s="99"/>
      <c r="L18" s="99"/>
    </row>
    <row r="19" spans="1:12" s="182" customFormat="1" ht="18.75" x14ac:dyDescent="0.25">
      <c r="A19" s="115" t="s">
        <v>112</v>
      </c>
      <c r="B19" s="182" t="s">
        <v>114</v>
      </c>
      <c r="D19" s="132"/>
      <c r="E19" s="99"/>
      <c r="F19" s="99"/>
      <c r="G19" s="99"/>
      <c r="H19" s="99"/>
      <c r="J19" s="99"/>
      <c r="K19" s="99"/>
      <c r="L19" s="99"/>
    </row>
    <row r="20" spans="1:12" s="182" customFormat="1" ht="18.75" x14ac:dyDescent="0.25">
      <c r="A20" s="115" t="s">
        <v>113</v>
      </c>
      <c r="E20" s="99"/>
      <c r="F20" s="99"/>
      <c r="G20" s="99"/>
      <c r="H20" s="99"/>
      <c r="J20" s="99"/>
      <c r="K20" s="99"/>
      <c r="L20" s="99"/>
    </row>
    <row r="21" spans="1:12" s="182" customFormat="1" ht="18.75" x14ac:dyDescent="0.25">
      <c r="A21" s="115"/>
      <c r="E21" s="99"/>
      <c r="F21" s="99"/>
      <c r="G21" s="99"/>
      <c r="H21" s="99"/>
      <c r="J21" s="99"/>
      <c r="K21" s="99"/>
      <c r="L21" s="99"/>
    </row>
    <row r="22" spans="1:12" s="182" customFormat="1" ht="37.5" customHeight="1" x14ac:dyDescent="0.3">
      <c r="A22" s="115" t="s">
        <v>115</v>
      </c>
      <c r="C22" s="325" t="s">
        <v>426</v>
      </c>
      <c r="D22" s="325"/>
      <c r="E22" s="324" t="s">
        <v>427</v>
      </c>
      <c r="F22" s="324"/>
      <c r="G22" s="99"/>
      <c r="H22" s="99"/>
      <c r="J22" s="99"/>
      <c r="K22" s="99"/>
      <c r="L22" s="99"/>
    </row>
    <row r="23" spans="1:12" s="182" customFormat="1" ht="45" customHeight="1" x14ac:dyDescent="0.25">
      <c r="A23" s="115"/>
      <c r="C23" s="320" t="s">
        <v>117</v>
      </c>
      <c r="D23" s="320"/>
      <c r="E23" s="99"/>
      <c r="F23" s="99"/>
      <c r="G23" s="99"/>
      <c r="H23" s="99"/>
      <c r="J23" s="99"/>
      <c r="K23" s="99"/>
      <c r="L23" s="99"/>
    </row>
    <row r="24" spans="1:12" s="182" customFormat="1" ht="45" customHeight="1" x14ac:dyDescent="0.25">
      <c r="A24" s="115"/>
      <c r="C24" s="320"/>
      <c r="D24" s="320"/>
      <c r="E24" s="99"/>
      <c r="F24" s="99"/>
      <c r="G24" s="99"/>
      <c r="H24" s="99"/>
      <c r="J24" s="99"/>
      <c r="K24" s="99"/>
      <c r="L24" s="99"/>
    </row>
  </sheetData>
  <mergeCells count="13">
    <mergeCell ref="C23:D23"/>
    <mergeCell ref="C24:D24"/>
    <mergeCell ref="B2:F2"/>
    <mergeCell ref="C6:C7"/>
    <mergeCell ref="D6:D7"/>
    <mergeCell ref="A17:B17"/>
    <mergeCell ref="C17:D17"/>
    <mergeCell ref="E17:F17"/>
    <mergeCell ref="B3:F3"/>
    <mergeCell ref="B4:F4"/>
    <mergeCell ref="C18:D18"/>
    <mergeCell ref="C22:D22"/>
    <mergeCell ref="E22:F2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09"/>
  <sheetViews>
    <sheetView view="pageBreakPreview" topLeftCell="A170" zoomScale="60" zoomScaleNormal="72" workbookViewId="0">
      <selection activeCell="H167" sqref="H167"/>
    </sheetView>
  </sheetViews>
  <sheetFormatPr defaultRowHeight="15" x14ac:dyDescent="0.25"/>
  <cols>
    <col min="1" max="1" width="8.5703125" style="106" customWidth="1"/>
    <col min="2" max="2" width="30.140625" style="106" customWidth="1"/>
    <col min="3" max="3" width="23.85546875" style="106" customWidth="1"/>
    <col min="4" max="4" width="19.5703125" style="106" customWidth="1"/>
    <col min="5" max="5" width="21.7109375" style="106" customWidth="1"/>
    <col min="6" max="6" width="21.42578125" style="106" customWidth="1"/>
    <col min="7" max="7" width="24.5703125" style="106" customWidth="1"/>
    <col min="8" max="8" width="22.5703125" style="106" customWidth="1"/>
    <col min="9" max="9" width="15" style="106" customWidth="1"/>
    <col min="10" max="10" width="21.140625" style="106" customWidth="1"/>
    <col min="12" max="12" width="25.85546875" customWidth="1"/>
    <col min="13" max="13" width="18.7109375" customWidth="1"/>
    <col min="14" max="14" width="29.140625" customWidth="1"/>
    <col min="18" max="18" width="16.7109375" customWidth="1"/>
    <col min="19" max="19" width="13.42578125" bestFit="1" customWidth="1"/>
  </cols>
  <sheetData>
    <row r="1" spans="1:10" ht="18.75" x14ac:dyDescent="0.25">
      <c r="J1" s="236" t="s">
        <v>119</v>
      </c>
    </row>
    <row r="2" spans="1:10" ht="18.75" x14ac:dyDescent="0.25">
      <c r="J2" s="236" t="s">
        <v>120</v>
      </c>
    </row>
    <row r="3" spans="1:10" ht="16.5" x14ac:dyDescent="0.25">
      <c r="J3" s="237" t="s">
        <v>121</v>
      </c>
    </row>
    <row r="4" spans="1:10" ht="16.5" x14ac:dyDescent="0.25">
      <c r="J4" s="237" t="s">
        <v>122</v>
      </c>
    </row>
    <row r="5" spans="1:10" ht="16.5" x14ac:dyDescent="0.25">
      <c r="J5" s="237" t="s">
        <v>123</v>
      </c>
    </row>
    <row r="6" spans="1:10" ht="16.5" x14ac:dyDescent="0.25">
      <c r="J6" s="237" t="s">
        <v>124</v>
      </c>
    </row>
    <row r="7" spans="1:10" ht="16.5" x14ac:dyDescent="0.25">
      <c r="J7" s="237" t="s">
        <v>125</v>
      </c>
    </row>
    <row r="8" spans="1:10" ht="16.5" x14ac:dyDescent="0.25">
      <c r="J8" s="237" t="s">
        <v>126</v>
      </c>
    </row>
    <row r="11" spans="1:10" ht="15" customHeight="1" x14ac:dyDescent="0.25">
      <c r="A11" s="326" t="s">
        <v>383</v>
      </c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8.75" x14ac:dyDescent="0.25">
      <c r="A12" s="238"/>
      <c r="B12" s="238"/>
      <c r="C12" s="232"/>
      <c r="D12" s="238"/>
      <c r="E12" s="238"/>
      <c r="F12" s="238"/>
      <c r="G12" s="238"/>
      <c r="H12" s="238"/>
      <c r="I12" s="238"/>
      <c r="J12" s="238"/>
    </row>
    <row r="13" spans="1:10" ht="18.75" x14ac:dyDescent="0.25">
      <c r="A13" s="326" t="s">
        <v>127</v>
      </c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8.75" x14ac:dyDescent="0.25">
      <c r="A15" s="327" t="s">
        <v>342</v>
      </c>
      <c r="B15" s="327"/>
      <c r="C15" s="327"/>
      <c r="D15" s="327"/>
      <c r="E15" s="327"/>
      <c r="F15" s="327"/>
      <c r="G15" s="327"/>
      <c r="H15" s="327"/>
      <c r="I15" s="327"/>
      <c r="J15" s="327"/>
    </row>
    <row r="16" spans="1:10" ht="21" customHeight="1" x14ac:dyDescent="0.25">
      <c r="A16" s="327" t="s">
        <v>343</v>
      </c>
      <c r="B16" s="327"/>
      <c r="C16" s="327"/>
      <c r="D16" s="327"/>
      <c r="E16" s="327"/>
      <c r="F16" s="327"/>
      <c r="G16" s="327"/>
      <c r="H16" s="327"/>
      <c r="I16" s="327"/>
      <c r="J16" s="327"/>
    </row>
    <row r="17" spans="1:19" ht="18.75" x14ac:dyDescent="0.25">
      <c r="A17" s="118"/>
    </row>
    <row r="18" spans="1:19" ht="18.75" x14ac:dyDescent="0.25">
      <c r="A18" s="326" t="s">
        <v>128</v>
      </c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9" ht="15.75" thickBot="1" x14ac:dyDescent="0.3">
      <c r="L19" s="103"/>
    </row>
    <row r="20" spans="1:19" ht="36" customHeight="1" thickBot="1" x14ac:dyDescent="0.3">
      <c r="A20" s="289" t="s">
        <v>0</v>
      </c>
      <c r="B20" s="289" t="s">
        <v>129</v>
      </c>
      <c r="C20" s="289" t="s">
        <v>130</v>
      </c>
      <c r="D20" s="329" t="s">
        <v>131</v>
      </c>
      <c r="E20" s="330"/>
      <c r="F20" s="330"/>
      <c r="G20" s="331"/>
      <c r="H20" s="289" t="s">
        <v>132</v>
      </c>
      <c r="I20" s="289" t="s">
        <v>133</v>
      </c>
      <c r="J20" s="289" t="s">
        <v>134</v>
      </c>
      <c r="L20" s="103"/>
    </row>
    <row r="21" spans="1:19" ht="19.5" thickBot="1" x14ac:dyDescent="0.3">
      <c r="A21" s="328"/>
      <c r="B21" s="328"/>
      <c r="C21" s="328"/>
      <c r="D21" s="289" t="s">
        <v>135</v>
      </c>
      <c r="E21" s="329" t="s">
        <v>22</v>
      </c>
      <c r="F21" s="330"/>
      <c r="G21" s="331"/>
      <c r="H21" s="328"/>
      <c r="I21" s="328"/>
      <c r="J21" s="328"/>
    </row>
    <row r="22" spans="1:19" ht="109.5" customHeight="1" thickBot="1" x14ac:dyDescent="0.3">
      <c r="A22" s="281"/>
      <c r="B22" s="281"/>
      <c r="C22" s="281"/>
      <c r="D22" s="281"/>
      <c r="E22" s="184" t="s">
        <v>136</v>
      </c>
      <c r="F22" s="184" t="s">
        <v>137</v>
      </c>
      <c r="G22" s="184" t="s">
        <v>138</v>
      </c>
      <c r="H22" s="281"/>
      <c r="I22" s="281"/>
      <c r="J22" s="281"/>
      <c r="L22" s="103"/>
    </row>
    <row r="23" spans="1:19" s="106" customFormat="1" ht="19.5" thickBot="1" x14ac:dyDescent="0.3">
      <c r="A23" s="231">
        <v>1</v>
      </c>
      <c r="B23" s="184">
        <v>2</v>
      </c>
      <c r="C23" s="184">
        <v>3</v>
      </c>
      <c r="D23" s="184">
        <v>4</v>
      </c>
      <c r="E23" s="184">
        <v>5</v>
      </c>
      <c r="F23" s="184">
        <v>6</v>
      </c>
      <c r="G23" s="184">
        <v>7</v>
      </c>
      <c r="H23" s="184">
        <v>8</v>
      </c>
      <c r="I23" s="184">
        <v>9</v>
      </c>
      <c r="J23" s="184">
        <v>10</v>
      </c>
      <c r="L23" s="157"/>
    </row>
    <row r="24" spans="1:19" s="106" customFormat="1" ht="38.25" thickBot="1" x14ac:dyDescent="0.3">
      <c r="A24" s="240"/>
      <c r="B24" s="240" t="s">
        <v>335</v>
      </c>
      <c r="C24" s="184">
        <v>3</v>
      </c>
      <c r="D24" s="71">
        <f>E24+F24+G24</f>
        <v>35252.485540746668</v>
      </c>
      <c r="E24" s="71">
        <f>70073/C24</f>
        <v>23357.666666666668</v>
      </c>
      <c r="F24" s="71"/>
      <c r="G24" s="71">
        <f>E24*K24</f>
        <v>11894.81887408</v>
      </c>
      <c r="H24" s="71"/>
      <c r="I24" s="71">
        <v>1.6</v>
      </c>
      <c r="J24" s="71">
        <f>((D24*I24)+(D24))*C24*12</f>
        <v>3299632.646613888</v>
      </c>
      <c r="K24" s="106">
        <v>0.50924687999999996</v>
      </c>
      <c r="L24" s="107">
        <v>3448043.91</v>
      </c>
      <c r="M24" s="107">
        <f>L24-J24</f>
        <v>148411.26338611217</v>
      </c>
      <c r="N24" s="106">
        <f>M24/12/2.6/C24</f>
        <v>1585.5904207917968</v>
      </c>
      <c r="P24" s="106">
        <f t="shared" ref="P24:P29" si="0">D24*2.6</f>
        <v>91656.462405941333</v>
      </c>
    </row>
    <row r="25" spans="1:19" s="106" customFormat="1" ht="38.25" thickBot="1" x14ac:dyDescent="0.3">
      <c r="A25" s="240"/>
      <c r="B25" s="240" t="s">
        <v>336</v>
      </c>
      <c r="C25" s="184">
        <v>39.29</v>
      </c>
      <c r="D25" s="71">
        <f>E25+F25+G25</f>
        <v>18601.804511009163</v>
      </c>
      <c r="E25" s="71">
        <f>418700.8/C25</f>
        <v>10656.675998981929</v>
      </c>
      <c r="F25" s="71"/>
      <c r="G25" s="71">
        <f>E25*K25+E25*0.2-1151.56437076049</f>
        <v>7945.1285120272314</v>
      </c>
      <c r="H25" s="149"/>
      <c r="I25" s="71">
        <v>1.6</v>
      </c>
      <c r="J25" s="71">
        <f>((D25*I25)+(D25))*C25*12</f>
        <v>22802984.856211562</v>
      </c>
      <c r="K25" s="106">
        <v>0.65361447449999999</v>
      </c>
      <c r="L25" s="107">
        <v>20860000</v>
      </c>
      <c r="M25" s="107">
        <f>L25-J25</f>
        <v>-1942984.8562115617</v>
      </c>
      <c r="N25" s="201">
        <f>M25/12/2.6/C25</f>
        <v>-1585.0128696311137</v>
      </c>
      <c r="P25" s="106">
        <f>D25*2.6</f>
        <v>48364.691728623824</v>
      </c>
    </row>
    <row r="26" spans="1:19" s="106" customFormat="1" ht="57" thickBot="1" x14ac:dyDescent="0.3">
      <c r="A26" s="183"/>
      <c r="B26" s="240" t="s">
        <v>337</v>
      </c>
      <c r="C26" s="184">
        <v>21.4</v>
      </c>
      <c r="D26" s="71">
        <f>E26+F26+G26</f>
        <v>10965.649174551469</v>
      </c>
      <c r="E26" s="71">
        <f>128060.25/C26</f>
        <v>5984.1238317757015</v>
      </c>
      <c r="F26" s="71"/>
      <c r="G26" s="71">
        <f>E26*K26+376.138657066034</f>
        <v>4981.5253427757661</v>
      </c>
      <c r="H26" s="71"/>
      <c r="I26" s="71">
        <v>1.6</v>
      </c>
      <c r="J26" s="71">
        <f>((D26*I26)+(D26))*C26*12</f>
        <v>7321544.640864525</v>
      </c>
      <c r="K26" s="106">
        <v>0.76960083300000004</v>
      </c>
      <c r="L26" s="107">
        <v>11046056.09</v>
      </c>
      <c r="M26" s="107">
        <f>L26-J26-J27</f>
        <v>-2107390.3809701568</v>
      </c>
      <c r="N26" s="202">
        <f>M26/12/2.6/C26</f>
        <v>-3156.2880136744502</v>
      </c>
      <c r="P26" s="106">
        <f t="shared" si="0"/>
        <v>28510.687853833821</v>
      </c>
    </row>
    <row r="27" spans="1:19" s="106" customFormat="1" ht="38.25" thickBot="1" x14ac:dyDescent="0.3">
      <c r="A27" s="183"/>
      <c r="B27" s="240" t="s">
        <v>338</v>
      </c>
      <c r="C27" s="184">
        <v>20.67</v>
      </c>
      <c r="D27" s="71">
        <f>E27+F27+G27</f>
        <v>9043.0542066813523</v>
      </c>
      <c r="E27" s="109">
        <f>70732.16/C27</f>
        <v>3421.9719400096756</v>
      </c>
      <c r="F27" s="109">
        <f>(3168/165.5*365*8*35%/12)+(3168/165.5*12*24/12)</f>
        <v>2089.6676737160119</v>
      </c>
      <c r="G27" s="71">
        <f>E27*K27</f>
        <v>3531.4145929556648</v>
      </c>
      <c r="H27" s="184"/>
      <c r="I27" s="71">
        <v>1.6</v>
      </c>
      <c r="J27" s="71">
        <f>((D27*I27)+(D27))*C27*12</f>
        <v>5831901.8301056316</v>
      </c>
      <c r="K27" s="106">
        <v>1.0319823349999999</v>
      </c>
      <c r="L27" s="107">
        <f>SUM(L24:L26)</f>
        <v>35354100</v>
      </c>
      <c r="M27" s="107"/>
      <c r="N27" s="177"/>
      <c r="P27" s="106">
        <f t="shared" si="0"/>
        <v>23511.940937371517</v>
      </c>
      <c r="R27" s="107">
        <f>L27-J28</f>
        <v>-3901963.9837956056</v>
      </c>
      <c r="S27" s="150">
        <f>R27-259000-100000</f>
        <v>-4260963.9837956056</v>
      </c>
    </row>
    <row r="28" spans="1:19" s="106" customFormat="1" ht="39.75" customHeight="1" thickBot="1" x14ac:dyDescent="0.3">
      <c r="A28" s="333" t="s">
        <v>139</v>
      </c>
      <c r="B28" s="334"/>
      <c r="C28" s="151" t="s">
        <v>140</v>
      </c>
      <c r="D28" s="151"/>
      <c r="E28" s="151" t="s">
        <v>140</v>
      </c>
      <c r="F28" s="151" t="s">
        <v>140</v>
      </c>
      <c r="G28" s="151" t="s">
        <v>140</v>
      </c>
      <c r="H28" s="152" t="s">
        <v>140</v>
      </c>
      <c r="I28" s="151" t="s">
        <v>140</v>
      </c>
      <c r="J28" s="153">
        <f>SUM(J24:J27)+0.01</f>
        <v>39256063.983795606</v>
      </c>
      <c r="L28" s="107">
        <f>L27-J28</f>
        <v>-3901963.9837956056</v>
      </c>
      <c r="M28" s="106">
        <f>M27*2.6</f>
        <v>0</v>
      </c>
      <c r="P28" s="106">
        <f t="shared" si="0"/>
        <v>0</v>
      </c>
    </row>
    <row r="29" spans="1:19" s="106" customFormat="1" x14ac:dyDescent="0.25">
      <c r="L29" s="154"/>
      <c r="M29" s="107"/>
      <c r="P29" s="106">
        <f t="shared" si="0"/>
        <v>0</v>
      </c>
    </row>
    <row r="30" spans="1:19" s="106" customFormat="1" x14ac:dyDescent="0.25">
      <c r="L30" s="107"/>
      <c r="M30" s="107"/>
    </row>
    <row r="31" spans="1:19" s="106" customFormat="1" ht="38.25" customHeight="1" x14ac:dyDescent="0.25">
      <c r="A31" s="321" t="s">
        <v>188</v>
      </c>
      <c r="B31" s="321"/>
      <c r="C31" s="321"/>
      <c r="D31" s="321"/>
      <c r="E31" s="321"/>
      <c r="F31" s="321"/>
      <c r="L31" s="107"/>
      <c r="M31" s="107"/>
    </row>
    <row r="32" spans="1:19" s="106" customFormat="1" ht="15.75" thickBot="1" x14ac:dyDescent="0.3">
      <c r="L32" s="107"/>
      <c r="M32" s="107"/>
    </row>
    <row r="33" spans="1:14" s="106" customFormat="1" ht="65.25" customHeight="1" thickBot="1" x14ac:dyDescent="0.3">
      <c r="A33" s="108" t="s">
        <v>0</v>
      </c>
      <c r="B33" s="243" t="s">
        <v>141</v>
      </c>
      <c r="C33" s="243" t="s">
        <v>142</v>
      </c>
      <c r="D33" s="243" t="s">
        <v>143</v>
      </c>
      <c r="E33" s="243" t="s">
        <v>144</v>
      </c>
      <c r="F33" s="243" t="s">
        <v>145</v>
      </c>
      <c r="L33" s="107">
        <f>SUM(J26:J27)</f>
        <v>13153446.470970158</v>
      </c>
      <c r="N33" s="155"/>
    </row>
    <row r="34" spans="1:14" s="106" customFormat="1" ht="19.5" thickBot="1" x14ac:dyDescent="0.3">
      <c r="A34" s="240">
        <v>1</v>
      </c>
      <c r="B34" s="184">
        <v>2</v>
      </c>
      <c r="C34" s="184">
        <v>3</v>
      </c>
      <c r="D34" s="184">
        <v>4</v>
      </c>
      <c r="E34" s="184">
        <v>5</v>
      </c>
      <c r="F34" s="184">
        <v>6</v>
      </c>
    </row>
    <row r="35" spans="1:14" s="106" customFormat="1" ht="19.5" thickBot="1" x14ac:dyDescent="0.3">
      <c r="A35" s="240">
        <v>1</v>
      </c>
      <c r="B35" s="184"/>
      <c r="C35" s="109">
        <v>0</v>
      </c>
      <c r="D35" s="109">
        <v>0</v>
      </c>
      <c r="E35" s="109">
        <v>0</v>
      </c>
      <c r="F35" s="109">
        <f>C35*D35*E35</f>
        <v>0</v>
      </c>
      <c r="M35" s="107"/>
      <c r="N35" s="107"/>
    </row>
    <row r="36" spans="1:14" s="106" customFormat="1" ht="19.5" thickBot="1" x14ac:dyDescent="0.3">
      <c r="A36" s="240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  <c r="L36" s="156"/>
      <c r="M36" s="107"/>
    </row>
    <row r="37" spans="1:14" s="106" customFormat="1" x14ac:dyDescent="0.25"/>
    <row r="38" spans="1:14" s="106" customFormat="1" ht="18.75" x14ac:dyDescent="0.25">
      <c r="A38" s="321" t="s">
        <v>189</v>
      </c>
      <c r="B38" s="321"/>
      <c r="C38" s="321"/>
      <c r="D38" s="321"/>
      <c r="E38" s="321"/>
      <c r="F38" s="321"/>
    </row>
    <row r="39" spans="1:14" s="106" customFormat="1" ht="15.75" thickBot="1" x14ac:dyDescent="0.3">
      <c r="L39" s="107"/>
    </row>
    <row r="40" spans="1:14" s="106" customFormat="1" ht="96" customHeight="1" thickBot="1" x14ac:dyDescent="0.3">
      <c r="A40" s="108" t="s">
        <v>0</v>
      </c>
      <c r="B40" s="243" t="s">
        <v>141</v>
      </c>
      <c r="C40" s="243" t="s">
        <v>146</v>
      </c>
      <c r="D40" s="243" t="s">
        <v>147</v>
      </c>
      <c r="E40" s="243" t="s">
        <v>148</v>
      </c>
      <c r="F40" s="243" t="s">
        <v>145</v>
      </c>
    </row>
    <row r="41" spans="1:14" s="106" customFormat="1" ht="19.5" thickBot="1" x14ac:dyDescent="0.3">
      <c r="A41" s="240">
        <v>1</v>
      </c>
      <c r="B41" s="184">
        <v>2</v>
      </c>
      <c r="C41" s="184">
        <v>3</v>
      </c>
      <c r="D41" s="184">
        <v>4</v>
      </c>
      <c r="E41" s="184">
        <v>5</v>
      </c>
      <c r="F41" s="184">
        <v>6</v>
      </c>
      <c r="M41" s="107"/>
    </row>
    <row r="42" spans="1:14" s="106" customFormat="1" ht="51.75" customHeight="1" thickBot="1" x14ac:dyDescent="0.3">
      <c r="A42" s="240">
        <v>1</v>
      </c>
      <c r="B42" s="184" t="s">
        <v>320</v>
      </c>
      <c r="C42" s="184">
        <v>4</v>
      </c>
      <c r="D42" s="184">
        <v>12</v>
      </c>
      <c r="E42" s="109">
        <v>90</v>
      </c>
      <c r="F42" s="109">
        <f>C42*D42*E42-228.87</f>
        <v>4091.13</v>
      </c>
    </row>
    <row r="43" spans="1:14" s="106" customFormat="1" ht="19.5" thickBot="1" x14ac:dyDescent="0.3">
      <c r="A43" s="240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4091.13</v>
      </c>
    </row>
    <row r="44" spans="1:14" s="106" customFormat="1" x14ac:dyDescent="0.25"/>
    <row r="45" spans="1:14" s="106" customFormat="1" ht="80.25" customHeight="1" x14ac:dyDescent="0.25">
      <c r="A45" s="321" t="s">
        <v>190</v>
      </c>
      <c r="B45" s="321"/>
      <c r="C45" s="321"/>
      <c r="D45" s="321"/>
      <c r="E45" s="321"/>
    </row>
    <row r="46" spans="1:14" s="106" customFormat="1" ht="15.75" thickBot="1" x14ac:dyDescent="0.3"/>
    <row r="47" spans="1:14" s="106" customFormat="1" ht="111" customHeight="1" thickBot="1" x14ac:dyDescent="0.3">
      <c r="A47" s="108" t="s">
        <v>0</v>
      </c>
      <c r="B47" s="243" t="s">
        <v>149</v>
      </c>
      <c r="C47" s="243" t="s">
        <v>150</v>
      </c>
      <c r="D47" s="243" t="s">
        <v>151</v>
      </c>
    </row>
    <row r="48" spans="1:14" s="106" customFormat="1" ht="19.5" thickBot="1" x14ac:dyDescent="0.3">
      <c r="A48" s="240">
        <v>1</v>
      </c>
      <c r="B48" s="184">
        <v>2</v>
      </c>
      <c r="C48" s="184">
        <v>3</v>
      </c>
      <c r="D48" s="184">
        <v>4</v>
      </c>
    </row>
    <row r="49" spans="1:6" s="106" customFormat="1" ht="75.75" customHeight="1" thickBot="1" x14ac:dyDescent="0.3">
      <c r="A49" s="240">
        <v>1</v>
      </c>
      <c r="B49" s="111" t="s">
        <v>152</v>
      </c>
      <c r="C49" s="184" t="s">
        <v>140</v>
      </c>
      <c r="D49" s="71">
        <f>D50+D52</f>
        <v>7324680.7033287594</v>
      </c>
    </row>
    <row r="50" spans="1:6" s="106" customFormat="1" ht="18.75" x14ac:dyDescent="0.25">
      <c r="A50" s="289" t="s">
        <v>153</v>
      </c>
      <c r="B50" s="112" t="s">
        <v>22</v>
      </c>
      <c r="C50" s="289"/>
      <c r="D50" s="276">
        <f>10543677.95-D53-D54</f>
        <v>7324680.7033287594</v>
      </c>
    </row>
    <row r="51" spans="1:6" s="106" customFormat="1" ht="19.5" thickBot="1" x14ac:dyDescent="0.3">
      <c r="A51" s="281"/>
      <c r="B51" s="113" t="s">
        <v>154</v>
      </c>
      <c r="C51" s="281"/>
      <c r="D51" s="277"/>
    </row>
    <row r="52" spans="1:6" s="106" customFormat="1" ht="19.5" thickBot="1" x14ac:dyDescent="0.3">
      <c r="A52" s="240" t="s">
        <v>155</v>
      </c>
      <c r="B52" s="114" t="s">
        <v>156</v>
      </c>
      <c r="C52" s="184"/>
      <c r="D52" s="71"/>
    </row>
    <row r="53" spans="1:6" s="106" customFormat="1" ht="92.25" customHeight="1" thickBot="1" x14ac:dyDescent="0.3">
      <c r="A53" s="240">
        <v>2</v>
      </c>
      <c r="B53" s="111" t="s">
        <v>157</v>
      </c>
      <c r="C53" s="184" t="s">
        <v>140</v>
      </c>
      <c r="D53" s="71">
        <f>C54*3.1%</f>
        <v>1216937.9834976639</v>
      </c>
    </row>
    <row r="54" spans="1:6" s="106" customFormat="1" ht="132" customHeight="1" thickBot="1" x14ac:dyDescent="0.3">
      <c r="A54" s="240">
        <v>3</v>
      </c>
      <c r="B54" s="111" t="s">
        <v>158</v>
      </c>
      <c r="C54" s="71">
        <f>J28</f>
        <v>39256063.983795606</v>
      </c>
      <c r="D54" s="71">
        <f>C54*5.1%</f>
        <v>2002059.2631735757</v>
      </c>
    </row>
    <row r="55" spans="1:6" s="106" customFormat="1" ht="19.5" thickBot="1" x14ac:dyDescent="0.3">
      <c r="A55" s="240"/>
      <c r="B55" s="126" t="s">
        <v>139</v>
      </c>
      <c r="C55" s="85" t="s">
        <v>140</v>
      </c>
      <c r="D55" s="86">
        <f>D50+D53+D54</f>
        <v>10543677.949999999</v>
      </c>
    </row>
    <row r="56" spans="1:6" s="106" customFormat="1" x14ac:dyDescent="0.25"/>
    <row r="57" spans="1:6" s="106" customFormat="1" ht="36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x14ac:dyDescent="0.25"/>
    <row r="59" spans="1:6" s="106" customFormat="1" ht="18.75" x14ac:dyDescent="0.25">
      <c r="A59" s="332" t="s">
        <v>404</v>
      </c>
      <c r="B59" s="332"/>
      <c r="C59" s="332"/>
      <c r="D59" s="332"/>
      <c r="E59" s="332"/>
      <c r="F59" s="332"/>
    </row>
    <row r="60" spans="1:6" s="106" customFormat="1" ht="18.75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9.5" thickBot="1" x14ac:dyDescent="0.3">
      <c r="A61" s="115"/>
    </row>
    <row r="62" spans="1:6" s="106" customFormat="1" ht="72.75" customHeight="1" thickBot="1" x14ac:dyDescent="0.3">
      <c r="A62" s="108" t="s">
        <v>0</v>
      </c>
      <c r="B62" s="243" t="s">
        <v>1</v>
      </c>
      <c r="C62" s="243" t="s">
        <v>159</v>
      </c>
      <c r="D62" s="243" t="s">
        <v>160</v>
      </c>
      <c r="E62" s="243" t="s">
        <v>161</v>
      </c>
    </row>
    <row r="63" spans="1:6" s="106" customFormat="1" ht="19.5" thickBot="1" x14ac:dyDescent="0.3">
      <c r="A63" s="240">
        <v>1</v>
      </c>
      <c r="B63" s="184">
        <v>2</v>
      </c>
      <c r="C63" s="184">
        <v>3</v>
      </c>
      <c r="D63" s="184">
        <v>4</v>
      </c>
      <c r="E63" s="184">
        <v>5</v>
      </c>
    </row>
    <row r="64" spans="1:6" s="106" customFormat="1" ht="47.25" customHeight="1" thickBot="1" x14ac:dyDescent="0.3">
      <c r="A64" s="240">
        <v>1</v>
      </c>
      <c r="B64" s="184" t="s">
        <v>402</v>
      </c>
      <c r="C64" s="184" t="s">
        <v>403</v>
      </c>
      <c r="D64" s="184" t="s">
        <v>403</v>
      </c>
      <c r="E64" s="109">
        <v>65892</v>
      </c>
    </row>
    <row r="65" spans="1:12" s="106" customFormat="1" ht="42" customHeight="1" thickBot="1" x14ac:dyDescent="0.3">
      <c r="A65" s="240">
        <v>2</v>
      </c>
      <c r="B65" s="184" t="s">
        <v>402</v>
      </c>
      <c r="C65" s="184" t="s">
        <v>403</v>
      </c>
      <c r="D65" s="184" t="s">
        <v>403</v>
      </c>
      <c r="E65" s="109">
        <v>19899.38</v>
      </c>
    </row>
    <row r="66" spans="1:12" s="106" customFormat="1" ht="19.5" thickBot="1" x14ac:dyDescent="0.3">
      <c r="A66" s="240"/>
      <c r="B66" s="126" t="s">
        <v>139</v>
      </c>
      <c r="C66" s="85" t="s">
        <v>140</v>
      </c>
      <c r="D66" s="85" t="s">
        <v>140</v>
      </c>
      <c r="E66" s="127">
        <f>SUM(E64:E65)</f>
        <v>85791.38</v>
      </c>
    </row>
    <row r="67" spans="1:12" s="106" customFormat="1" ht="7.5" customHeight="1" x14ac:dyDescent="0.25"/>
    <row r="68" spans="1:12" s="106" customFormat="1" hidden="1" x14ac:dyDescent="0.25"/>
    <row r="69" spans="1:12" s="106" customFormat="1" ht="18.75" x14ac:dyDescent="0.25">
      <c r="A69" s="326" t="s">
        <v>194</v>
      </c>
      <c r="B69" s="326"/>
      <c r="C69" s="326"/>
      <c r="D69" s="326"/>
      <c r="E69" s="326"/>
      <c r="F69" s="326"/>
      <c r="G69" s="326"/>
    </row>
    <row r="70" spans="1:12" s="106" customFormat="1" ht="1.5" customHeight="1" x14ac:dyDescent="0.25">
      <c r="A70" s="242"/>
    </row>
    <row r="71" spans="1:12" s="106" customFormat="1" ht="18.75" hidden="1" x14ac:dyDescent="0.25">
      <c r="A71" s="115"/>
    </row>
    <row r="72" spans="1:12" s="106" customFormat="1" ht="18.75" x14ac:dyDescent="0.25">
      <c r="A72" s="332" t="s">
        <v>438</v>
      </c>
      <c r="B72" s="332"/>
      <c r="C72" s="332"/>
      <c r="D72" s="332"/>
      <c r="E72" s="332"/>
      <c r="F72" s="332"/>
      <c r="G72" s="332"/>
    </row>
    <row r="73" spans="1:12" s="106" customFormat="1" ht="18.75" x14ac:dyDescent="0.25">
      <c r="A73" s="332" t="s">
        <v>311</v>
      </c>
      <c r="B73" s="332"/>
      <c r="C73" s="332"/>
      <c r="D73" s="332"/>
      <c r="E73" s="332"/>
      <c r="F73" s="332"/>
      <c r="G73" s="332"/>
    </row>
    <row r="74" spans="1:12" s="106" customFormat="1" ht="19.5" thickBot="1" x14ac:dyDescent="0.3">
      <c r="A74" s="115"/>
    </row>
    <row r="75" spans="1:12" s="106" customFormat="1" ht="115.5" customHeight="1" thickBot="1" x14ac:dyDescent="0.3">
      <c r="A75" s="108" t="s">
        <v>0</v>
      </c>
      <c r="B75" s="243" t="s">
        <v>141</v>
      </c>
      <c r="C75" s="243" t="s">
        <v>162</v>
      </c>
      <c r="D75" s="243" t="s">
        <v>163</v>
      </c>
      <c r="E75" s="243" t="s">
        <v>164</v>
      </c>
    </row>
    <row r="76" spans="1:12" s="106" customFormat="1" ht="19.5" thickBot="1" x14ac:dyDescent="0.3">
      <c r="A76" s="240">
        <v>1</v>
      </c>
      <c r="B76" s="184">
        <v>2</v>
      </c>
      <c r="C76" s="184">
        <v>3</v>
      </c>
      <c r="D76" s="184">
        <v>4</v>
      </c>
      <c r="E76" s="184">
        <v>5</v>
      </c>
    </row>
    <row r="77" spans="1:12" s="106" customFormat="1" ht="19.5" thickBot="1" x14ac:dyDescent="0.3">
      <c r="A77" s="240">
        <v>1</v>
      </c>
      <c r="B77" s="184" t="s">
        <v>309</v>
      </c>
      <c r="C77" s="129">
        <v>34630000</v>
      </c>
      <c r="D77" s="129">
        <v>2.2000000000000002</v>
      </c>
      <c r="E77" s="158">
        <f>(C77*D77)/100</f>
        <v>761860</v>
      </c>
      <c r="H77" s="117"/>
      <c r="L77" s="106">
        <f>813754.14/0.022</f>
        <v>36988824.545454547</v>
      </c>
    </row>
    <row r="78" spans="1:12" s="106" customFormat="1" ht="27" customHeight="1" thickBot="1" x14ac:dyDescent="0.3">
      <c r="A78" s="240">
        <v>2</v>
      </c>
      <c r="B78" s="184" t="s">
        <v>310</v>
      </c>
      <c r="C78" s="129">
        <v>34362200</v>
      </c>
      <c r="D78" s="129">
        <v>1.5</v>
      </c>
      <c r="E78" s="158">
        <v>508756</v>
      </c>
    </row>
    <row r="79" spans="1:12" s="106" customFormat="1" ht="27" customHeight="1" thickBot="1" x14ac:dyDescent="0.3">
      <c r="A79" s="240">
        <v>3</v>
      </c>
      <c r="B79" s="184" t="s">
        <v>409</v>
      </c>
      <c r="C79" s="129"/>
      <c r="D79" s="129"/>
      <c r="E79" s="158">
        <v>100000</v>
      </c>
    </row>
    <row r="80" spans="1:12" s="106" customFormat="1" ht="19.5" thickBot="1" x14ac:dyDescent="0.3">
      <c r="A80" s="240"/>
      <c r="B80" s="126" t="s">
        <v>139</v>
      </c>
      <c r="C80" s="130"/>
      <c r="D80" s="130" t="s">
        <v>140</v>
      </c>
      <c r="E80" s="130">
        <f>E78+E77+E79</f>
        <v>1370616</v>
      </c>
    </row>
    <row r="81" spans="1:7" s="106" customFormat="1" x14ac:dyDescent="0.25"/>
    <row r="82" spans="1:7" s="106" customFormat="1" ht="18.75" x14ac:dyDescent="0.25">
      <c r="A82" s="326" t="s">
        <v>354</v>
      </c>
      <c r="B82" s="326"/>
      <c r="C82" s="326"/>
      <c r="D82" s="326"/>
      <c r="E82" s="326"/>
    </row>
    <row r="83" spans="1:7" s="106" customFormat="1" ht="7.5" customHeight="1" x14ac:dyDescent="0.25">
      <c r="A83" s="242"/>
    </row>
    <row r="84" spans="1:7" s="106" customFormat="1" ht="18.75" x14ac:dyDescent="0.25">
      <c r="A84" s="118" t="s">
        <v>344</v>
      </c>
    </row>
    <row r="85" spans="1:7" s="106" customFormat="1" ht="18.75" x14ac:dyDescent="0.25">
      <c r="A85" s="244" t="s">
        <v>311</v>
      </c>
      <c r="B85" s="244"/>
      <c r="C85" s="244"/>
      <c r="D85" s="244"/>
      <c r="E85" s="244"/>
      <c r="F85" s="244"/>
      <c r="G85" s="244"/>
    </row>
    <row r="86" spans="1:7" s="106" customFormat="1" ht="1.5" customHeight="1" x14ac:dyDescent="0.25">
      <c r="A86" s="118"/>
    </row>
    <row r="87" spans="1:7" s="106" customFormat="1" ht="18.75" x14ac:dyDescent="0.25">
      <c r="A87" s="326" t="s">
        <v>355</v>
      </c>
      <c r="B87" s="326"/>
      <c r="C87" s="326"/>
      <c r="D87" s="326"/>
      <c r="E87" s="326"/>
      <c r="F87" s="326"/>
    </row>
    <row r="88" spans="1:7" s="106" customFormat="1" ht="15.75" thickBot="1" x14ac:dyDescent="0.3"/>
    <row r="89" spans="1:7" s="106" customFormat="1" ht="38.25" thickBot="1" x14ac:dyDescent="0.3">
      <c r="A89" s="108" t="s">
        <v>0</v>
      </c>
      <c r="B89" s="243" t="s">
        <v>141</v>
      </c>
      <c r="C89" s="243" t="s">
        <v>166</v>
      </c>
      <c r="D89" s="243" t="s">
        <v>167</v>
      </c>
      <c r="E89" s="243" t="s">
        <v>168</v>
      </c>
      <c r="F89" s="243" t="s">
        <v>145</v>
      </c>
    </row>
    <row r="90" spans="1:7" s="106" customFormat="1" ht="19.5" thickBot="1" x14ac:dyDescent="0.3">
      <c r="A90" s="240">
        <v>1</v>
      </c>
      <c r="B90" s="184">
        <v>2</v>
      </c>
      <c r="C90" s="184">
        <v>3</v>
      </c>
      <c r="D90" s="184">
        <v>4</v>
      </c>
      <c r="E90" s="184">
        <v>5</v>
      </c>
      <c r="F90" s="184">
        <v>6</v>
      </c>
    </row>
    <row r="91" spans="1:7" s="106" customFormat="1" ht="38.25" thickBot="1" x14ac:dyDescent="0.3">
      <c r="A91" s="240">
        <v>1</v>
      </c>
      <c r="B91" s="184" t="s">
        <v>313</v>
      </c>
      <c r="C91" s="184">
        <v>3</v>
      </c>
      <c r="D91" s="184">
        <v>12</v>
      </c>
      <c r="E91" s="129">
        <v>694.51</v>
      </c>
      <c r="F91" s="158">
        <f>C91*D91*E91-0.17</f>
        <v>25002.190000000002</v>
      </c>
    </row>
    <row r="92" spans="1:7" s="106" customFormat="1" ht="19.5" thickBot="1" x14ac:dyDescent="0.3">
      <c r="A92" s="240"/>
      <c r="B92" s="126" t="s">
        <v>139</v>
      </c>
      <c r="C92" s="85" t="s">
        <v>140</v>
      </c>
      <c r="D92" s="85" t="s">
        <v>140</v>
      </c>
      <c r="E92" s="85" t="s">
        <v>140</v>
      </c>
      <c r="F92" s="130">
        <f>F91</f>
        <v>25002.190000000002</v>
      </c>
    </row>
    <row r="93" spans="1:7" s="106" customFormat="1" x14ac:dyDescent="0.25"/>
    <row r="94" spans="1:7" s="106" customFormat="1" ht="30" customHeight="1" x14ac:dyDescent="0.25">
      <c r="A94" s="326" t="s">
        <v>356</v>
      </c>
      <c r="B94" s="326"/>
      <c r="C94" s="326"/>
      <c r="D94" s="326"/>
      <c r="E94" s="326"/>
      <c r="F94" s="326"/>
    </row>
    <row r="95" spans="1:7" s="106" customFormat="1" ht="15.75" thickBot="1" x14ac:dyDescent="0.3"/>
    <row r="96" spans="1:7" s="106" customFormat="1" ht="38.25" thickBot="1" x14ac:dyDescent="0.3">
      <c r="A96" s="108" t="s">
        <v>0</v>
      </c>
      <c r="B96" s="243" t="s">
        <v>141</v>
      </c>
      <c r="C96" s="243" t="s">
        <v>170</v>
      </c>
      <c r="D96" s="243" t="s">
        <v>171</v>
      </c>
      <c r="E96" s="243" t="s">
        <v>172</v>
      </c>
    </row>
    <row r="97" spans="1:13" s="106" customFormat="1" ht="19.5" thickBot="1" x14ac:dyDescent="0.3">
      <c r="A97" s="240">
        <v>1</v>
      </c>
      <c r="B97" s="184">
        <v>2</v>
      </c>
      <c r="C97" s="184">
        <v>3</v>
      </c>
      <c r="D97" s="184">
        <v>4</v>
      </c>
      <c r="E97" s="184">
        <v>5</v>
      </c>
    </row>
    <row r="98" spans="1:13" s="106" customFormat="1" ht="19.5" thickBot="1" x14ac:dyDescent="0.3">
      <c r="A98" s="240"/>
      <c r="B98" s="184"/>
      <c r="C98" s="109">
        <v>0</v>
      </c>
      <c r="D98" s="109">
        <v>0</v>
      </c>
      <c r="E98" s="109">
        <f>C98*D98</f>
        <v>0</v>
      </c>
    </row>
    <row r="99" spans="1:13" s="106" customFormat="1" ht="19.5" thickBot="1" x14ac:dyDescent="0.3">
      <c r="A99" s="240"/>
      <c r="B99" s="134" t="s">
        <v>139</v>
      </c>
      <c r="C99" s="135">
        <f>C98</f>
        <v>0</v>
      </c>
      <c r="D99" s="135">
        <f>D98</f>
        <v>0</v>
      </c>
      <c r="E99" s="135">
        <f>E98</f>
        <v>0</v>
      </c>
    </row>
    <row r="100" spans="1:13" s="106" customFormat="1" x14ac:dyDescent="0.25"/>
    <row r="101" spans="1:13" s="106" customFormat="1" ht="18.75" x14ac:dyDescent="0.25">
      <c r="A101" s="326" t="s">
        <v>357</v>
      </c>
      <c r="B101" s="326"/>
      <c r="C101" s="326"/>
      <c r="D101" s="326"/>
      <c r="E101" s="326"/>
      <c r="F101" s="326"/>
    </row>
    <row r="102" spans="1:13" s="106" customFormat="1" ht="15.75" thickBot="1" x14ac:dyDescent="0.3"/>
    <row r="103" spans="1:13" s="106" customFormat="1" ht="57" thickBot="1" x14ac:dyDescent="0.3">
      <c r="A103" s="108" t="s">
        <v>0</v>
      </c>
      <c r="B103" s="243" t="s">
        <v>1</v>
      </c>
      <c r="C103" s="243" t="s">
        <v>349</v>
      </c>
      <c r="D103" s="243" t="s">
        <v>345</v>
      </c>
      <c r="E103" s="243" t="s">
        <v>174</v>
      </c>
      <c r="F103" s="243" t="s">
        <v>175</v>
      </c>
      <c r="G103" s="243" t="s">
        <v>351</v>
      </c>
    </row>
    <row r="104" spans="1:13" s="106" customFormat="1" ht="19.5" thickBot="1" x14ac:dyDescent="0.3">
      <c r="A104" s="240">
        <v>1</v>
      </c>
      <c r="B104" s="184">
        <v>2</v>
      </c>
      <c r="C104" s="184">
        <v>3</v>
      </c>
      <c r="D104" s="184">
        <v>4</v>
      </c>
      <c r="E104" s="184">
        <v>5</v>
      </c>
      <c r="F104" s="184">
        <v>6</v>
      </c>
      <c r="G104" s="184">
        <v>7</v>
      </c>
    </row>
    <row r="105" spans="1:13" s="106" customFormat="1" ht="41.25" customHeight="1" thickBot="1" x14ac:dyDescent="0.3">
      <c r="A105" s="240">
        <v>1</v>
      </c>
      <c r="B105" s="240" t="s">
        <v>314</v>
      </c>
      <c r="C105" s="109" t="s">
        <v>350</v>
      </c>
      <c r="D105" s="109">
        <v>381.68</v>
      </c>
      <c r="E105" s="109">
        <f>L105/D105</f>
        <v>6507.191128694194</v>
      </c>
      <c r="F105" s="184"/>
      <c r="G105" s="109">
        <f>2344316.53+228492.59</f>
        <v>2572809.1199999996</v>
      </c>
      <c r="L105" s="106">
        <v>2483664.71</v>
      </c>
      <c r="M105" s="117">
        <f t="shared" ref="M105:M110" si="1">L105-G105</f>
        <v>-89144.409999999683</v>
      </c>
    </row>
    <row r="106" spans="1:13" s="106" customFormat="1" ht="39.75" customHeight="1" thickBot="1" x14ac:dyDescent="0.3">
      <c r="A106" s="240">
        <v>2</v>
      </c>
      <c r="B106" s="240" t="s">
        <v>315</v>
      </c>
      <c r="C106" s="109" t="s">
        <v>350</v>
      </c>
      <c r="D106" s="203">
        <v>175.05</v>
      </c>
      <c r="E106" s="109">
        <f t="shared" ref="E106:E110" si="2">L106/D106</f>
        <v>6704.3785775492706</v>
      </c>
      <c r="F106" s="184"/>
      <c r="G106" s="109">
        <v>1220069.3600000001</v>
      </c>
      <c r="L106" s="106">
        <v>1173601.47</v>
      </c>
      <c r="M106" s="117">
        <f t="shared" si="1"/>
        <v>-46467.89000000013</v>
      </c>
    </row>
    <row r="107" spans="1:13" s="106" customFormat="1" ht="37.5" customHeight="1" thickBot="1" x14ac:dyDescent="0.3">
      <c r="A107" s="240">
        <v>3</v>
      </c>
      <c r="B107" s="240" t="s">
        <v>316</v>
      </c>
      <c r="C107" s="109" t="s">
        <v>373</v>
      </c>
      <c r="D107" s="109">
        <v>82531</v>
      </c>
      <c r="E107" s="109">
        <f t="shared" si="2"/>
        <v>4.6775049375386217</v>
      </c>
      <c r="F107" s="184"/>
      <c r="G107" s="109">
        <f>452932.51</f>
        <v>452932.51</v>
      </c>
      <c r="L107" s="106">
        <v>386039.16</v>
      </c>
      <c r="M107" s="117">
        <f t="shared" si="1"/>
        <v>-66893.350000000035</v>
      </c>
    </row>
    <row r="108" spans="1:13" s="106" customFormat="1" ht="47.25" customHeight="1" thickBot="1" x14ac:dyDescent="0.3">
      <c r="A108" s="240">
        <v>4</v>
      </c>
      <c r="B108" s="240" t="s">
        <v>317</v>
      </c>
      <c r="C108" s="109" t="s">
        <v>366</v>
      </c>
      <c r="D108" s="109">
        <v>3744</v>
      </c>
      <c r="E108" s="109">
        <f t="shared" si="2"/>
        <v>56.63876068376068</v>
      </c>
      <c r="F108" s="184"/>
      <c r="G108" s="109">
        <f>208718.82+42455.42</f>
        <v>251174.24</v>
      </c>
      <c r="L108" s="106">
        <v>212055.52</v>
      </c>
      <c r="M108" s="117">
        <f t="shared" si="1"/>
        <v>-39118.720000000001</v>
      </c>
    </row>
    <row r="109" spans="1:13" s="106" customFormat="1" ht="30" customHeight="1" thickBot="1" x14ac:dyDescent="0.3">
      <c r="A109" s="240">
        <v>5</v>
      </c>
      <c r="B109" s="240" t="s">
        <v>318</v>
      </c>
      <c r="C109" s="109" t="s">
        <v>366</v>
      </c>
      <c r="D109" s="109">
        <v>5300.86</v>
      </c>
      <c r="E109" s="109">
        <f t="shared" si="2"/>
        <v>42.541934704934675</v>
      </c>
      <c r="F109" s="184"/>
      <c r="G109" s="109">
        <v>156143.12</v>
      </c>
      <c r="L109" s="106">
        <v>225508.84</v>
      </c>
      <c r="M109" s="117">
        <f t="shared" si="1"/>
        <v>69365.72</v>
      </c>
    </row>
    <row r="110" spans="1:13" s="106" customFormat="1" ht="47.25" customHeight="1" thickBot="1" x14ac:dyDescent="0.3">
      <c r="A110" s="240">
        <v>6</v>
      </c>
      <c r="B110" s="240" t="s">
        <v>319</v>
      </c>
      <c r="C110" s="109" t="s">
        <v>366</v>
      </c>
      <c r="D110" s="109">
        <v>1556.86</v>
      </c>
      <c r="E110" s="109">
        <f t="shared" si="2"/>
        <v>57.994219133383872</v>
      </c>
      <c r="F110" s="184"/>
      <c r="G110" s="109">
        <f>7470.47+104212.76</f>
        <v>111683.23</v>
      </c>
      <c r="L110" s="106">
        <v>90288.88</v>
      </c>
      <c r="M110" s="117">
        <f t="shared" si="1"/>
        <v>-21394.349999999991</v>
      </c>
    </row>
    <row r="111" spans="1:13" s="106" customFormat="1" ht="19.5" thickBot="1" x14ac:dyDescent="0.3">
      <c r="A111" s="240"/>
      <c r="B111" s="126" t="s">
        <v>139</v>
      </c>
      <c r="C111" s="85" t="s">
        <v>140</v>
      </c>
      <c r="D111" s="85" t="s">
        <v>140</v>
      </c>
      <c r="E111" s="85" t="s">
        <v>140</v>
      </c>
      <c r="F111" s="85" t="s">
        <v>140</v>
      </c>
      <c r="G111" s="133">
        <f>G110+G109+G108+G107+G106+G105</f>
        <v>4764811.58</v>
      </c>
      <c r="H111" s="106" t="s">
        <v>440</v>
      </c>
      <c r="I111" s="204" t="s">
        <v>440</v>
      </c>
      <c r="M111" s="204"/>
    </row>
    <row r="112" spans="1:13" s="106" customFormat="1" x14ac:dyDescent="0.25"/>
    <row r="113" spans="1:6" s="106" customFormat="1" ht="18.75" x14ac:dyDescent="0.25">
      <c r="A113" s="326" t="s">
        <v>358</v>
      </c>
      <c r="B113" s="326"/>
      <c r="C113" s="326"/>
      <c r="D113" s="326"/>
      <c r="E113" s="326"/>
      <c r="F113" s="118"/>
    </row>
    <row r="114" spans="1:6" s="106" customFormat="1" ht="15.75" thickBot="1" x14ac:dyDescent="0.3"/>
    <row r="115" spans="1:6" s="106" customFormat="1" ht="57" thickBot="1" x14ac:dyDescent="0.3">
      <c r="A115" s="108" t="s">
        <v>0</v>
      </c>
      <c r="B115" s="243" t="s">
        <v>1</v>
      </c>
      <c r="C115" s="243" t="s">
        <v>177</v>
      </c>
      <c r="D115" s="243" t="s">
        <v>178</v>
      </c>
      <c r="E115" s="243" t="s">
        <v>179</v>
      </c>
    </row>
    <row r="116" spans="1:6" s="106" customFormat="1" ht="19.5" thickBot="1" x14ac:dyDescent="0.3">
      <c r="A116" s="240">
        <v>1</v>
      </c>
      <c r="B116" s="184">
        <v>2</v>
      </c>
      <c r="C116" s="184">
        <v>3</v>
      </c>
      <c r="D116" s="184">
        <v>4</v>
      </c>
      <c r="E116" s="184">
        <v>5</v>
      </c>
    </row>
    <row r="117" spans="1:6" s="106" customFormat="1" ht="19.5" thickBot="1" x14ac:dyDescent="0.3">
      <c r="A117" s="240"/>
      <c r="B117" s="184"/>
      <c r="C117" s="184"/>
      <c r="D117" s="184"/>
      <c r="E117" s="184"/>
    </row>
    <row r="118" spans="1:6" s="106" customFormat="1" ht="19.5" thickBot="1" x14ac:dyDescent="0.3">
      <c r="A118" s="240"/>
      <c r="B118" s="110" t="s">
        <v>139</v>
      </c>
      <c r="C118" s="184" t="s">
        <v>140</v>
      </c>
      <c r="D118" s="184" t="s">
        <v>140</v>
      </c>
      <c r="E118" s="184" t="s">
        <v>140</v>
      </c>
    </row>
    <row r="119" spans="1:6" s="106" customFormat="1" x14ac:dyDescent="0.25"/>
    <row r="120" spans="1:6" s="106" customFormat="1" ht="39.75" customHeight="1" x14ac:dyDescent="0.25">
      <c r="A120" s="321" t="s">
        <v>359</v>
      </c>
      <c r="B120" s="321"/>
      <c r="C120" s="321"/>
      <c r="D120" s="321"/>
      <c r="E120" s="321"/>
    </row>
    <row r="121" spans="1:6" s="106" customFormat="1" ht="10.5" customHeight="1" thickBot="1" x14ac:dyDescent="0.3">
      <c r="A121" s="115"/>
    </row>
    <row r="122" spans="1:6" s="106" customFormat="1" ht="38.25" customHeight="1" thickBot="1" x14ac:dyDescent="0.3">
      <c r="A122" s="108" t="s">
        <v>0</v>
      </c>
      <c r="B122" s="243" t="s">
        <v>141</v>
      </c>
      <c r="C122" s="243" t="s">
        <v>180</v>
      </c>
      <c r="D122" s="243" t="s">
        <v>181</v>
      </c>
      <c r="E122" s="243" t="s">
        <v>182</v>
      </c>
    </row>
    <row r="123" spans="1:6" s="106" customFormat="1" ht="19.5" thickBot="1" x14ac:dyDescent="0.3">
      <c r="A123" s="240">
        <v>1</v>
      </c>
      <c r="B123" s="184">
        <v>2</v>
      </c>
      <c r="C123" s="184">
        <v>3</v>
      </c>
      <c r="D123" s="184">
        <v>4</v>
      </c>
      <c r="E123" s="184">
        <v>5</v>
      </c>
    </row>
    <row r="124" spans="1:6" s="106" customFormat="1" ht="19.5" thickBot="1" x14ac:dyDescent="0.3">
      <c r="A124" s="240">
        <v>1</v>
      </c>
      <c r="B124" s="120" t="s">
        <v>321</v>
      </c>
      <c r="C124" s="184"/>
      <c r="D124" s="184">
        <v>12</v>
      </c>
      <c r="E124" s="129">
        <v>79657.259999999995</v>
      </c>
    </row>
    <row r="125" spans="1:6" s="106" customFormat="1" ht="19.5" thickBot="1" x14ac:dyDescent="0.3">
      <c r="A125" s="240">
        <v>2</v>
      </c>
      <c r="B125" s="120" t="s">
        <v>322</v>
      </c>
      <c r="C125" s="184"/>
      <c r="D125" s="184">
        <v>12</v>
      </c>
      <c r="E125" s="129">
        <v>7465.92</v>
      </c>
    </row>
    <row r="126" spans="1:6" s="106" customFormat="1" ht="19.5" thickBot="1" x14ac:dyDescent="0.3">
      <c r="A126" s="240">
        <v>3</v>
      </c>
      <c r="B126" s="120" t="s">
        <v>393</v>
      </c>
      <c r="C126" s="184"/>
      <c r="D126" s="184"/>
      <c r="E126" s="129">
        <v>15227</v>
      </c>
    </row>
    <row r="127" spans="1:6" s="106" customFormat="1" ht="19.5" thickBot="1" x14ac:dyDescent="0.3">
      <c r="A127" s="240">
        <v>4</v>
      </c>
      <c r="B127" s="120" t="s">
        <v>323</v>
      </c>
      <c r="C127" s="184"/>
      <c r="D127" s="184">
        <v>12</v>
      </c>
      <c r="E127" s="129">
        <v>75600</v>
      </c>
    </row>
    <row r="128" spans="1:6" s="106" customFormat="1" ht="38.25" thickBot="1" x14ac:dyDescent="0.3">
      <c r="A128" s="240">
        <v>5</v>
      </c>
      <c r="B128" s="120" t="s">
        <v>324</v>
      </c>
      <c r="C128" s="184"/>
      <c r="D128" s="184">
        <v>12</v>
      </c>
      <c r="E128" s="129">
        <v>72000</v>
      </c>
    </row>
    <row r="129" spans="1:12" s="106" customFormat="1" ht="24.75" customHeight="1" thickBot="1" x14ac:dyDescent="0.3">
      <c r="A129" s="240">
        <v>6</v>
      </c>
      <c r="B129" s="120" t="s">
        <v>325</v>
      </c>
      <c r="C129" s="184"/>
      <c r="D129" s="184">
        <v>12</v>
      </c>
      <c r="E129" s="129">
        <f>30000+10492.05+60161.65-0.06</f>
        <v>100653.64000000001</v>
      </c>
    </row>
    <row r="130" spans="1:12" s="106" customFormat="1" ht="57" thickBot="1" x14ac:dyDescent="0.3">
      <c r="A130" s="240">
        <v>7</v>
      </c>
      <c r="B130" s="120" t="s">
        <v>326</v>
      </c>
      <c r="C130" s="184"/>
      <c r="D130" s="184">
        <v>12</v>
      </c>
      <c r="E130" s="129">
        <v>30000</v>
      </c>
    </row>
    <row r="131" spans="1:12" s="106" customFormat="1" ht="19.5" thickBot="1" x14ac:dyDescent="0.3">
      <c r="A131" s="240">
        <v>8</v>
      </c>
      <c r="B131" s="120" t="s">
        <v>327</v>
      </c>
      <c r="C131" s="184"/>
      <c r="D131" s="184">
        <v>7</v>
      </c>
      <c r="E131" s="129">
        <v>251500</v>
      </c>
    </row>
    <row r="132" spans="1:12" s="106" customFormat="1" ht="38.25" thickBot="1" x14ac:dyDescent="0.3">
      <c r="A132" s="240">
        <v>9</v>
      </c>
      <c r="B132" s="120" t="s">
        <v>328</v>
      </c>
      <c r="C132" s="184"/>
      <c r="D132" s="184">
        <v>4</v>
      </c>
      <c r="E132" s="129">
        <v>4000</v>
      </c>
    </row>
    <row r="133" spans="1:12" s="106" customFormat="1" ht="19.5" hidden="1" thickBot="1" x14ac:dyDescent="0.3">
      <c r="A133" s="240"/>
      <c r="B133" s="120"/>
      <c r="C133" s="184"/>
      <c r="D133" s="184"/>
      <c r="E133" s="129"/>
    </row>
    <row r="134" spans="1:12" s="106" customFormat="1" ht="38.25" customHeight="1" thickBot="1" x14ac:dyDescent="0.3">
      <c r="A134" s="240">
        <v>10</v>
      </c>
      <c r="B134" s="120" t="s">
        <v>418</v>
      </c>
      <c r="C134" s="184"/>
      <c r="D134" s="184"/>
      <c r="E134" s="129">
        <v>82166.86</v>
      </c>
    </row>
    <row r="135" spans="1:12" s="106" customFormat="1" ht="57" thickBot="1" x14ac:dyDescent="0.3">
      <c r="A135" s="240">
        <v>11</v>
      </c>
      <c r="B135" s="120" t="s">
        <v>330</v>
      </c>
      <c r="C135" s="184"/>
      <c r="D135" s="184">
        <v>1</v>
      </c>
      <c r="E135" s="129">
        <v>31918.33</v>
      </c>
    </row>
    <row r="136" spans="1:12" s="106" customFormat="1" ht="27" hidden="1" customHeight="1" thickBot="1" x14ac:dyDescent="0.3">
      <c r="A136" s="240">
        <v>12</v>
      </c>
      <c r="B136" s="120" t="s">
        <v>369</v>
      </c>
      <c r="C136" s="184"/>
      <c r="D136" s="184"/>
      <c r="E136" s="129">
        <v>0</v>
      </c>
    </row>
    <row r="137" spans="1:12" s="106" customFormat="1" ht="38.25" hidden="1" customHeight="1" thickBot="1" x14ac:dyDescent="0.3">
      <c r="A137" s="240">
        <v>13</v>
      </c>
      <c r="B137" s="120" t="s">
        <v>377</v>
      </c>
      <c r="C137" s="184"/>
      <c r="D137" s="184"/>
      <c r="E137" s="129">
        <v>0</v>
      </c>
    </row>
    <row r="138" spans="1:12" s="106" customFormat="1" ht="38.25" hidden="1" customHeight="1" thickBot="1" x14ac:dyDescent="0.3">
      <c r="A138" s="240">
        <v>14</v>
      </c>
      <c r="B138" s="120" t="s">
        <v>378</v>
      </c>
      <c r="C138" s="184"/>
      <c r="D138" s="184"/>
      <c r="E138" s="129">
        <v>0</v>
      </c>
    </row>
    <row r="139" spans="1:12" s="106" customFormat="1" ht="38.25" hidden="1" customHeight="1" thickBot="1" x14ac:dyDescent="0.3">
      <c r="A139" s="240">
        <v>15</v>
      </c>
      <c r="B139" s="120" t="s">
        <v>379</v>
      </c>
      <c r="C139" s="184"/>
      <c r="D139" s="184"/>
      <c r="E139" s="129">
        <v>0</v>
      </c>
    </row>
    <row r="140" spans="1:12" s="106" customFormat="1" ht="38.25" customHeight="1" thickBot="1" x14ac:dyDescent="0.3">
      <c r="A140" s="240">
        <v>12</v>
      </c>
      <c r="B140" s="120" t="s">
        <v>329</v>
      </c>
      <c r="C140" s="184"/>
      <c r="D140" s="184"/>
      <c r="E140" s="129">
        <f>17160+7710</f>
        <v>24870</v>
      </c>
    </row>
    <row r="141" spans="1:12" s="106" customFormat="1" ht="38.25" customHeight="1" thickBot="1" x14ac:dyDescent="0.3">
      <c r="A141" s="240">
        <v>13</v>
      </c>
      <c r="B141" s="120" t="s">
        <v>439</v>
      </c>
      <c r="C141" s="184"/>
      <c r="D141" s="184"/>
      <c r="E141" s="129">
        <f>20000+15000</f>
        <v>35000</v>
      </c>
    </row>
    <row r="142" spans="1:12" s="106" customFormat="1" ht="38.25" customHeight="1" thickBot="1" x14ac:dyDescent="0.3">
      <c r="A142" s="240">
        <v>14</v>
      </c>
      <c r="B142" s="120" t="s">
        <v>419</v>
      </c>
      <c r="C142" s="184"/>
      <c r="D142" s="184">
        <v>1</v>
      </c>
      <c r="E142" s="129">
        <f>121004.51+52990.05</f>
        <v>173994.56</v>
      </c>
    </row>
    <row r="143" spans="1:12" s="106" customFormat="1" ht="84" customHeight="1" thickBot="1" x14ac:dyDescent="0.3">
      <c r="A143" s="240">
        <v>15</v>
      </c>
      <c r="B143" s="120" t="s">
        <v>379</v>
      </c>
      <c r="C143" s="184"/>
      <c r="D143" s="184"/>
      <c r="E143" s="129">
        <f>59149.6+5512+20648.69+37916.1+1140.29+4115.12+6656.36+1840+18000+17194.42+2960+2730+42121+25850.71+9000+50000+76919.36</f>
        <v>381753.64999999991</v>
      </c>
    </row>
    <row r="144" spans="1:12" s="106" customFormat="1" ht="84" customHeight="1" thickBot="1" x14ac:dyDescent="0.3">
      <c r="A144" s="240">
        <v>16</v>
      </c>
      <c r="B144" s="120" t="s">
        <v>421</v>
      </c>
      <c r="C144" s="184"/>
      <c r="D144" s="184"/>
      <c r="E144" s="129">
        <v>0</v>
      </c>
      <c r="L144" s="204">
        <f>E124+E125+E126+E127+E128+E129+E130+E131+E132+E135+E140+E141+E142+E143+E144</f>
        <v>1283640.3599999999</v>
      </c>
    </row>
    <row r="145" spans="1:12" s="106" customFormat="1" ht="19.5" thickBot="1" x14ac:dyDescent="0.3">
      <c r="A145" s="240"/>
      <c r="B145" s="126" t="s">
        <v>139</v>
      </c>
      <c r="C145" s="85" t="s">
        <v>140</v>
      </c>
      <c r="D145" s="85" t="s">
        <v>140</v>
      </c>
      <c r="E145" s="130">
        <f>SUM(E124:E144)</f>
        <v>1365807.22</v>
      </c>
      <c r="F145" s="204" t="s">
        <v>440</v>
      </c>
      <c r="L145" s="204">
        <f>E145-E142-E143</f>
        <v>810059.01</v>
      </c>
    </row>
    <row r="146" spans="1:12" s="106" customFormat="1" x14ac:dyDescent="0.25"/>
    <row r="147" spans="1:12" s="106" customFormat="1" ht="37.5" customHeight="1" x14ac:dyDescent="0.25">
      <c r="A147" s="321" t="s">
        <v>360</v>
      </c>
      <c r="B147" s="321"/>
      <c r="C147" s="321"/>
      <c r="D147" s="321"/>
      <c r="E147" s="321"/>
    </row>
    <row r="148" spans="1:12" s="106" customFormat="1" ht="19.5" thickBot="1" x14ac:dyDescent="0.3">
      <c r="A148" s="115"/>
    </row>
    <row r="149" spans="1:12" s="106" customFormat="1" ht="38.25" thickBot="1" x14ac:dyDescent="0.3">
      <c r="A149" s="108" t="s">
        <v>0</v>
      </c>
      <c r="B149" s="243" t="s">
        <v>141</v>
      </c>
      <c r="C149" s="243" t="s">
        <v>184</v>
      </c>
      <c r="D149" s="243" t="s">
        <v>185</v>
      </c>
    </row>
    <row r="150" spans="1:12" s="106" customFormat="1" ht="19.5" thickBot="1" x14ac:dyDescent="0.3">
      <c r="A150" s="240">
        <v>1</v>
      </c>
      <c r="B150" s="184">
        <v>2</v>
      </c>
      <c r="C150" s="184">
        <v>3</v>
      </c>
      <c r="D150" s="184">
        <v>4</v>
      </c>
    </row>
    <row r="151" spans="1:12" s="106" customFormat="1" ht="24.75" customHeight="1" thickBot="1" x14ac:dyDescent="0.3">
      <c r="A151" s="240">
        <v>1</v>
      </c>
      <c r="B151" s="120" t="s">
        <v>331</v>
      </c>
      <c r="C151" s="184">
        <v>1</v>
      </c>
      <c r="D151" s="129">
        <v>75060.960000000006</v>
      </c>
    </row>
    <row r="152" spans="1:12" s="106" customFormat="1" ht="24.75" customHeight="1" thickBot="1" x14ac:dyDescent="0.3">
      <c r="A152" s="240">
        <v>2</v>
      </c>
      <c r="B152" s="120" t="s">
        <v>332</v>
      </c>
      <c r="C152" s="184">
        <v>1</v>
      </c>
      <c r="D152" s="129">
        <v>0</v>
      </c>
    </row>
    <row r="153" spans="1:12" s="106" customFormat="1" ht="24.75" customHeight="1" thickBot="1" x14ac:dyDescent="0.3">
      <c r="A153" s="240">
        <v>3</v>
      </c>
      <c r="B153" s="120" t="s">
        <v>334</v>
      </c>
      <c r="C153" s="184"/>
      <c r="D153" s="129">
        <f>16250+26880+237093</f>
        <v>280223</v>
      </c>
    </row>
    <row r="154" spans="1:12" s="106" customFormat="1" ht="38.25" thickBot="1" x14ac:dyDescent="0.3">
      <c r="A154" s="240">
        <v>4</v>
      </c>
      <c r="B154" s="120" t="s">
        <v>380</v>
      </c>
      <c r="C154" s="184"/>
      <c r="D154" s="129">
        <v>120000</v>
      </c>
    </row>
    <row r="155" spans="1:12" s="106" customFormat="1" ht="27" customHeight="1" thickBot="1" x14ac:dyDescent="0.3">
      <c r="A155" s="240">
        <v>5</v>
      </c>
      <c r="B155" s="120" t="s">
        <v>370</v>
      </c>
      <c r="C155" s="184"/>
      <c r="D155" s="129">
        <f>12250+47976.06+47000</f>
        <v>107226.06</v>
      </c>
    </row>
    <row r="156" spans="1:12" s="106" customFormat="1" ht="27" customHeight="1" thickBot="1" x14ac:dyDescent="0.3">
      <c r="A156" s="240">
        <v>6</v>
      </c>
      <c r="B156" s="120" t="s">
        <v>394</v>
      </c>
      <c r="C156" s="184"/>
      <c r="D156" s="129">
        <v>18718.09</v>
      </c>
    </row>
    <row r="157" spans="1:12" s="106" customFormat="1" ht="75.75" thickBot="1" x14ac:dyDescent="0.3">
      <c r="A157" s="240">
        <v>7</v>
      </c>
      <c r="B157" s="120" t="s">
        <v>401</v>
      </c>
      <c r="C157" s="184"/>
      <c r="D157" s="129">
        <f>2728.97+4000+6100+365.79+2560.56</f>
        <v>15755.32</v>
      </c>
    </row>
    <row r="158" spans="1:12" s="106" customFormat="1" ht="19.5" thickBot="1" x14ac:dyDescent="0.3">
      <c r="A158" s="240">
        <v>8</v>
      </c>
      <c r="B158" s="120" t="s">
        <v>371</v>
      </c>
      <c r="C158" s="184"/>
      <c r="D158" s="129">
        <f>3450+69160+66640+18078.09+10800+120.81-0.27</f>
        <v>168248.63</v>
      </c>
    </row>
    <row r="159" spans="1:12" s="106" customFormat="1" ht="19.5" thickBot="1" x14ac:dyDescent="0.3">
      <c r="A159" s="240">
        <v>9</v>
      </c>
      <c r="B159" s="120" t="s">
        <v>433</v>
      </c>
      <c r="C159" s="184"/>
      <c r="D159" s="129">
        <v>40000</v>
      </c>
    </row>
    <row r="160" spans="1:12" s="106" customFormat="1" ht="19.5" thickBot="1" x14ac:dyDescent="0.3">
      <c r="A160" s="240"/>
      <c r="B160" s="126" t="s">
        <v>139</v>
      </c>
      <c r="C160" s="85" t="s">
        <v>140</v>
      </c>
      <c r="D160" s="130">
        <f>SUM(D151:D159)</f>
        <v>825232.05999999994</v>
      </c>
      <c r="L160" s="204" t="e">
        <f>D160-#REF!</f>
        <v>#REF!</v>
      </c>
    </row>
    <row r="161" spans="1:14" s="106" customFormat="1" x14ac:dyDescent="0.25"/>
    <row r="162" spans="1:14" s="106" customFormat="1" ht="51" customHeight="1" x14ac:dyDescent="0.25">
      <c r="A162" s="321" t="s">
        <v>361</v>
      </c>
      <c r="B162" s="321"/>
      <c r="C162" s="321"/>
      <c r="D162" s="321"/>
      <c r="E162" s="321"/>
      <c r="F162" s="321"/>
    </row>
    <row r="163" spans="1:14" s="106" customFormat="1" ht="15.75" thickBot="1" x14ac:dyDescent="0.3"/>
    <row r="164" spans="1:14" s="106" customFormat="1" ht="57" thickBot="1" x14ac:dyDescent="0.3">
      <c r="A164" s="108" t="s">
        <v>0</v>
      </c>
      <c r="B164" s="243" t="s">
        <v>141</v>
      </c>
      <c r="C164" s="243" t="s">
        <v>177</v>
      </c>
      <c r="D164" s="243" t="s">
        <v>186</v>
      </c>
      <c r="E164" s="243" t="s">
        <v>187</v>
      </c>
    </row>
    <row r="165" spans="1:14" s="106" customFormat="1" ht="19.5" thickBot="1" x14ac:dyDescent="0.3">
      <c r="A165" s="240"/>
      <c r="B165" s="184">
        <v>1</v>
      </c>
      <c r="C165" s="184">
        <v>2</v>
      </c>
      <c r="D165" s="184">
        <v>3</v>
      </c>
      <c r="E165" s="184">
        <v>4</v>
      </c>
    </row>
    <row r="166" spans="1:14" s="106" customFormat="1" ht="36" customHeight="1" thickBot="1" x14ac:dyDescent="0.3">
      <c r="A166" s="240">
        <v>1</v>
      </c>
      <c r="B166" s="120" t="s">
        <v>339</v>
      </c>
      <c r="C166" s="184"/>
      <c r="D166" s="129">
        <f>E166</f>
        <v>127648</v>
      </c>
      <c r="E166" s="129">
        <v>127648</v>
      </c>
    </row>
    <row r="167" spans="1:14" s="106" customFormat="1" ht="84.75" customHeight="1" thickBot="1" x14ac:dyDescent="0.3">
      <c r="A167" s="240">
        <v>2</v>
      </c>
      <c r="B167" s="120" t="s">
        <v>341</v>
      </c>
      <c r="C167" s="184"/>
      <c r="D167" s="129">
        <f>E167</f>
        <v>183788</v>
      </c>
      <c r="E167" s="129">
        <v>183788</v>
      </c>
    </row>
    <row r="168" spans="1:14" s="106" customFormat="1" ht="50.25" customHeight="1" thickBot="1" x14ac:dyDescent="0.3">
      <c r="A168" s="241"/>
      <c r="B168" s="128" t="s">
        <v>347</v>
      </c>
      <c r="C168" s="85"/>
      <c r="D168" s="130"/>
      <c r="E168" s="130">
        <f>E167+E166</f>
        <v>311436</v>
      </c>
    </row>
    <row r="169" spans="1:14" s="106" customFormat="1" ht="42" customHeight="1" thickBot="1" x14ac:dyDescent="0.3">
      <c r="A169" s="240">
        <v>1</v>
      </c>
      <c r="B169" s="120" t="s">
        <v>340</v>
      </c>
      <c r="C169" s="184"/>
      <c r="D169" s="129">
        <f>E169</f>
        <v>728308.14</v>
      </c>
      <c r="E169" s="129">
        <v>728308.14</v>
      </c>
      <c r="L169" s="204" t="e">
        <f>F43+F92+E124+E125+E126+E127+E128+E129+E130+E131+E132+E133+E134+E135+#REF!+E140+D151+D153+D154+D155+D157+D158+E166+E169+E170</f>
        <v>#REF!</v>
      </c>
      <c r="M169" s="106">
        <v>2880479.72</v>
      </c>
      <c r="N169" s="204" t="e">
        <f>L169-M169</f>
        <v>#REF!</v>
      </c>
    </row>
    <row r="170" spans="1:14" s="106" customFormat="1" ht="49.5" customHeight="1" thickBot="1" x14ac:dyDescent="0.3">
      <c r="A170" s="240">
        <v>2</v>
      </c>
      <c r="B170" s="120" t="s">
        <v>411</v>
      </c>
      <c r="C170" s="184"/>
      <c r="D170" s="129">
        <f>E170</f>
        <v>468618.19</v>
      </c>
      <c r="E170" s="129">
        <v>468618.19</v>
      </c>
      <c r="L170" s="204" t="e">
        <f>E142+E143+#REF!+E167+E171</f>
        <v>#REF!</v>
      </c>
      <c r="M170" s="117">
        <v>993823</v>
      </c>
      <c r="N170" s="204" t="e">
        <f>L170-M170</f>
        <v>#REF!</v>
      </c>
    </row>
    <row r="171" spans="1:14" s="106" customFormat="1" ht="85.5" customHeight="1" thickBot="1" x14ac:dyDescent="0.3">
      <c r="A171" s="240">
        <v>3</v>
      </c>
      <c r="B171" s="120" t="s">
        <v>408</v>
      </c>
      <c r="C171" s="184"/>
      <c r="D171" s="129">
        <f>E171</f>
        <v>258812.99</v>
      </c>
      <c r="E171" s="129">
        <v>258812.99</v>
      </c>
    </row>
    <row r="172" spans="1:14" s="106" customFormat="1" ht="50.25" customHeight="1" thickBot="1" x14ac:dyDescent="0.3">
      <c r="A172" s="241"/>
      <c r="B172" s="128" t="s">
        <v>348</v>
      </c>
      <c r="C172" s="85"/>
      <c r="D172" s="130"/>
      <c r="E172" s="130">
        <f>E171+E170+E169</f>
        <v>1455739.3199999998</v>
      </c>
    </row>
    <row r="174" spans="1:14" x14ac:dyDescent="0.25">
      <c r="A174" s="106" t="s">
        <v>420</v>
      </c>
      <c r="H174" s="204"/>
    </row>
    <row r="175" spans="1:14" x14ac:dyDescent="0.25">
      <c r="A175" s="106" t="s">
        <v>428</v>
      </c>
    </row>
    <row r="176" spans="1:14" x14ac:dyDescent="0.25">
      <c r="L176" s="216">
        <f>J28+F43+D55+E80+F92+G111+E145+D160+E168+E172</f>
        <v>59922477.433795609</v>
      </c>
    </row>
    <row r="178" spans="6:12" x14ac:dyDescent="0.25">
      <c r="L178">
        <v>55499738</v>
      </c>
    </row>
    <row r="179" spans="6:12" x14ac:dyDescent="0.25">
      <c r="L179" s="216">
        <f>L176-L178</f>
        <v>4422739.4337956086</v>
      </c>
    </row>
    <row r="181" spans="6:12" x14ac:dyDescent="0.25">
      <c r="F181" s="106">
        <v>221</v>
      </c>
      <c r="G181" s="204">
        <f>F92</f>
        <v>25002.190000000002</v>
      </c>
    </row>
    <row r="182" spans="6:12" x14ac:dyDescent="0.25">
      <c r="F182" s="106">
        <v>223</v>
      </c>
      <c r="G182" s="204">
        <f>G111</f>
        <v>4764811.58</v>
      </c>
    </row>
    <row r="183" spans="6:12" x14ac:dyDescent="0.25">
      <c r="F183" s="106">
        <v>225</v>
      </c>
      <c r="G183" s="204">
        <f>E145</f>
        <v>1365807.22</v>
      </c>
    </row>
    <row r="186" spans="6:12" x14ac:dyDescent="0.25">
      <c r="F186" s="106">
        <v>226</v>
      </c>
      <c r="G186" s="204">
        <f>D160</f>
        <v>825232.05999999994</v>
      </c>
      <c r="J186" s="204">
        <f>E172+E166+D160+E145+F43</f>
        <v>3778517.7299999995</v>
      </c>
    </row>
    <row r="190" spans="6:12" x14ac:dyDescent="0.25">
      <c r="F190" s="106">
        <v>310</v>
      </c>
      <c r="G190" s="204">
        <f>E168</f>
        <v>311436</v>
      </c>
    </row>
    <row r="194" spans="6:7" x14ac:dyDescent="0.25">
      <c r="F194" s="106">
        <v>340</v>
      </c>
      <c r="G194" s="204">
        <f>E172</f>
        <v>1455739.3199999998</v>
      </c>
    </row>
    <row r="197" spans="6:7" x14ac:dyDescent="0.25">
      <c r="G197" s="204">
        <f>SUM(G181:G194)</f>
        <v>8748028.3699999992</v>
      </c>
    </row>
    <row r="200" spans="6:7" x14ac:dyDescent="0.25">
      <c r="G200" s="204"/>
    </row>
    <row r="201" spans="6:7" x14ac:dyDescent="0.25">
      <c r="G201" s="204"/>
    </row>
    <row r="205" spans="6:7" x14ac:dyDescent="0.25">
      <c r="G205" s="107">
        <f>'Раздел 4'!J9</f>
        <v>18597483.789999999</v>
      </c>
    </row>
    <row r="209" spans="7:7" x14ac:dyDescent="0.25">
      <c r="G209" s="204">
        <f>G200-G205</f>
        <v>-18597483.789999999</v>
      </c>
    </row>
  </sheetData>
  <customSheetViews>
    <customSheetView guid="{91D40EB3-3AB1-43EC-9BD4-811B569873C7}" scale="60" showPageBreaks="1" printArea="1" view="pageBreakPreview" topLeftCell="A142">
      <selection activeCell="F157" sqref="F157"/>
      <pageMargins left="0.7" right="0.7" top="0.75" bottom="0.75" header="0.3" footer="0.3"/>
      <pageSetup paperSize="9" scale="63" orientation="landscape" r:id="rId1"/>
    </customSheetView>
    <customSheetView guid="{30DD97D7-A999-4776-AF65-71256237214E}" scale="60" showPageBreaks="1" printArea="1" view="pageBreakPreview">
      <selection activeCell="N25" sqref="N25"/>
      <pageMargins left="0.7" right="0.7" top="0.75" bottom="0.75" header="0.3" footer="0.3"/>
      <pageSetup paperSize="9" scale="84" orientation="landscape" r:id="rId2"/>
    </customSheetView>
    <customSheetView guid="{FB496A58-F583-46B2-B046-A2748948A2F7}" scale="60" showPageBreaks="1" printArea="1" view="pageBreakPreview" topLeftCell="A55">
      <selection activeCell="G76" sqref="G76"/>
      <pageMargins left="0.7" right="0.7" top="0.75" bottom="0.75" header="0.3" footer="0.3"/>
      <pageSetup paperSize="9" scale="81" orientation="landscape" r:id="rId3"/>
    </customSheetView>
  </customSheetViews>
  <mergeCells count="35">
    <mergeCell ref="A147:E147"/>
    <mergeCell ref="A162:F162"/>
    <mergeCell ref="A69:G69"/>
    <mergeCell ref="A73:G73"/>
    <mergeCell ref="A72:G72"/>
    <mergeCell ref="A94:F94"/>
    <mergeCell ref="A87:F87"/>
    <mergeCell ref="A82:E82"/>
    <mergeCell ref="A101:F101"/>
    <mergeCell ref="A120:E120"/>
    <mergeCell ref="A113:E113"/>
    <mergeCell ref="A38:F38"/>
    <mergeCell ref="A20:A22"/>
    <mergeCell ref="A45:E45"/>
    <mergeCell ref="C20:C22"/>
    <mergeCell ref="A28:B28"/>
    <mergeCell ref="B20:B22"/>
    <mergeCell ref="A31:F31"/>
    <mergeCell ref="A60:F60"/>
    <mergeCell ref="A59:F59"/>
    <mergeCell ref="A57:F57"/>
    <mergeCell ref="A50:A51"/>
    <mergeCell ref="C50:C51"/>
    <mergeCell ref="D50:D51"/>
    <mergeCell ref="J20:J22"/>
    <mergeCell ref="D21:D22"/>
    <mergeCell ref="E21:G21"/>
    <mergeCell ref="H20:H22"/>
    <mergeCell ref="I20:I22"/>
    <mergeCell ref="D20:G20"/>
    <mergeCell ref="A11:J11"/>
    <mergeCell ref="A13:J13"/>
    <mergeCell ref="A16:J16"/>
    <mergeCell ref="A15:J15"/>
    <mergeCell ref="A18:J18"/>
  </mergeCells>
  <pageMargins left="0.70866141732283472" right="0.70866141732283472" top="0.74803149606299213" bottom="0.74803149606299213" header="0.31496062992125984" footer="0.31496062992125984"/>
  <pageSetup paperSize="9" scale="41" orientation="portrait" r:id="rId4"/>
  <rowBreaks count="3" manualBreakCount="3">
    <brk id="30" max="9" man="1"/>
    <brk id="81" max="9" man="1"/>
    <brk id="14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95"/>
  <sheetViews>
    <sheetView view="pageBreakPreview" topLeftCell="A157" zoomScale="60" zoomScaleNormal="72" workbookViewId="0">
      <selection activeCell="J112" sqref="J112"/>
    </sheetView>
  </sheetViews>
  <sheetFormatPr defaultRowHeight="15" x14ac:dyDescent="0.25"/>
  <cols>
    <col min="1" max="1" width="8.5703125" style="106" customWidth="1"/>
    <col min="2" max="2" width="30.140625" style="106" customWidth="1"/>
    <col min="3" max="3" width="23.85546875" style="106" customWidth="1"/>
    <col min="4" max="4" width="19.5703125" style="106" customWidth="1"/>
    <col min="5" max="5" width="21.7109375" style="106" customWidth="1"/>
    <col min="6" max="6" width="21.42578125" style="106" customWidth="1"/>
    <col min="7" max="7" width="24.5703125" style="106" customWidth="1"/>
    <col min="8" max="8" width="15.42578125" style="106" customWidth="1"/>
    <col min="9" max="9" width="15" style="106" customWidth="1"/>
    <col min="10" max="10" width="21.140625" style="106" customWidth="1"/>
    <col min="12" max="12" width="25.85546875" customWidth="1"/>
    <col min="13" max="13" width="18.7109375" customWidth="1"/>
    <col min="14" max="14" width="29.140625" customWidth="1"/>
    <col min="18" max="18" width="16.7109375" customWidth="1"/>
    <col min="19" max="19" width="13.42578125" bestFit="1" customWidth="1"/>
  </cols>
  <sheetData>
    <row r="1" spans="1:10" ht="18.75" x14ac:dyDescent="0.25">
      <c r="J1" s="236" t="s">
        <v>119</v>
      </c>
    </row>
    <row r="2" spans="1:10" ht="18.75" x14ac:dyDescent="0.25">
      <c r="J2" s="236" t="s">
        <v>120</v>
      </c>
    </row>
    <row r="3" spans="1:10" ht="16.5" x14ac:dyDescent="0.25">
      <c r="J3" s="237" t="s">
        <v>121</v>
      </c>
    </row>
    <row r="4" spans="1:10" ht="16.5" x14ac:dyDescent="0.25">
      <c r="J4" s="237" t="s">
        <v>122</v>
      </c>
    </row>
    <row r="5" spans="1:10" ht="16.5" x14ac:dyDescent="0.25">
      <c r="J5" s="237" t="s">
        <v>123</v>
      </c>
    </row>
    <row r="6" spans="1:10" ht="16.5" x14ac:dyDescent="0.25">
      <c r="J6" s="237" t="s">
        <v>124</v>
      </c>
    </row>
    <row r="7" spans="1:10" ht="16.5" x14ac:dyDescent="0.25">
      <c r="J7" s="237" t="s">
        <v>125</v>
      </c>
    </row>
    <row r="8" spans="1:10" ht="16.5" x14ac:dyDescent="0.25">
      <c r="J8" s="237" t="s">
        <v>126</v>
      </c>
    </row>
    <row r="11" spans="1:10" ht="15" customHeight="1" x14ac:dyDescent="0.25">
      <c r="A11" s="326" t="s">
        <v>384</v>
      </c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8.75" x14ac:dyDescent="0.25">
      <c r="A12" s="238"/>
      <c r="B12" s="238"/>
      <c r="C12" s="232"/>
      <c r="D12" s="238"/>
      <c r="E12" s="238"/>
      <c r="F12" s="238"/>
      <c r="G12" s="238"/>
      <c r="H12" s="238"/>
      <c r="I12" s="238"/>
      <c r="J12" s="238"/>
    </row>
    <row r="13" spans="1:10" ht="18.75" x14ac:dyDescent="0.25">
      <c r="A13" s="326" t="s">
        <v>127</v>
      </c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8.75" x14ac:dyDescent="0.25">
      <c r="A15" s="327" t="s">
        <v>342</v>
      </c>
      <c r="B15" s="327"/>
      <c r="C15" s="327"/>
      <c r="D15" s="327"/>
      <c r="E15" s="327"/>
      <c r="F15" s="327"/>
      <c r="G15" s="327"/>
      <c r="H15" s="327"/>
      <c r="I15" s="327"/>
      <c r="J15" s="327"/>
    </row>
    <row r="16" spans="1:10" ht="21" customHeight="1" x14ac:dyDescent="0.25">
      <c r="A16" s="327" t="s">
        <v>343</v>
      </c>
      <c r="B16" s="327"/>
      <c r="C16" s="327"/>
      <c r="D16" s="327"/>
      <c r="E16" s="327"/>
      <c r="F16" s="327"/>
      <c r="G16" s="327"/>
      <c r="H16" s="327"/>
      <c r="I16" s="327"/>
      <c r="J16" s="327"/>
    </row>
    <row r="17" spans="1:19" ht="18.75" x14ac:dyDescent="0.25">
      <c r="A17" s="118"/>
    </row>
    <row r="18" spans="1:19" ht="18.75" x14ac:dyDescent="0.25">
      <c r="A18" s="326" t="s">
        <v>128</v>
      </c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9" ht="15.75" thickBot="1" x14ac:dyDescent="0.3">
      <c r="L19" s="103"/>
    </row>
    <row r="20" spans="1:19" ht="36" customHeight="1" thickBot="1" x14ac:dyDescent="0.3">
      <c r="A20" s="289" t="s">
        <v>0</v>
      </c>
      <c r="B20" s="289" t="s">
        <v>129</v>
      </c>
      <c r="C20" s="289" t="s">
        <v>130</v>
      </c>
      <c r="D20" s="329" t="s">
        <v>131</v>
      </c>
      <c r="E20" s="330"/>
      <c r="F20" s="330"/>
      <c r="G20" s="331"/>
      <c r="H20" s="289" t="s">
        <v>132</v>
      </c>
      <c r="I20" s="289" t="s">
        <v>133</v>
      </c>
      <c r="J20" s="289" t="s">
        <v>134</v>
      </c>
      <c r="L20" s="103"/>
    </row>
    <row r="21" spans="1:19" ht="19.5" thickBot="1" x14ac:dyDescent="0.3">
      <c r="A21" s="328"/>
      <c r="B21" s="328"/>
      <c r="C21" s="328"/>
      <c r="D21" s="289" t="s">
        <v>135</v>
      </c>
      <c r="E21" s="329" t="s">
        <v>22</v>
      </c>
      <c r="F21" s="330"/>
      <c r="G21" s="331"/>
      <c r="H21" s="328"/>
      <c r="I21" s="328"/>
      <c r="J21" s="328"/>
    </row>
    <row r="22" spans="1:19" ht="109.5" customHeight="1" thickBot="1" x14ac:dyDescent="0.3">
      <c r="A22" s="281"/>
      <c r="B22" s="281"/>
      <c r="C22" s="281"/>
      <c r="D22" s="281"/>
      <c r="E22" s="184" t="s">
        <v>136</v>
      </c>
      <c r="F22" s="184" t="s">
        <v>137</v>
      </c>
      <c r="G22" s="184" t="s">
        <v>138</v>
      </c>
      <c r="H22" s="281"/>
      <c r="I22" s="281"/>
      <c r="J22" s="281"/>
      <c r="L22" s="103"/>
    </row>
    <row r="23" spans="1:19" s="106" customFormat="1" ht="19.5" thickBot="1" x14ac:dyDescent="0.3">
      <c r="A23" s="231">
        <v>1</v>
      </c>
      <c r="B23" s="184">
        <v>2</v>
      </c>
      <c r="C23" s="184">
        <v>3</v>
      </c>
      <c r="D23" s="184">
        <v>4</v>
      </c>
      <c r="E23" s="184">
        <v>5</v>
      </c>
      <c r="F23" s="184">
        <v>6</v>
      </c>
      <c r="G23" s="184">
        <v>7</v>
      </c>
      <c r="H23" s="184">
        <v>8</v>
      </c>
      <c r="I23" s="184">
        <v>9</v>
      </c>
      <c r="J23" s="184">
        <v>10</v>
      </c>
      <c r="L23" s="157"/>
    </row>
    <row r="24" spans="1:19" s="106" customFormat="1" ht="38.25" thickBot="1" x14ac:dyDescent="0.3">
      <c r="A24" s="231"/>
      <c r="B24" s="231" t="s">
        <v>335</v>
      </c>
      <c r="C24" s="184">
        <v>3</v>
      </c>
      <c r="D24" s="71">
        <f>E24+F24+G24</f>
        <v>38807.994192038503</v>
      </c>
      <c r="E24" s="71">
        <f>70069.99/C24</f>
        <v>23356.663333333334</v>
      </c>
      <c r="F24" s="71"/>
      <c r="G24" s="71">
        <f>E24*K24</f>
        <v>15451.330858705167</v>
      </c>
      <c r="H24" s="71"/>
      <c r="I24" s="71">
        <v>1.6</v>
      </c>
      <c r="J24" s="71">
        <f>((D24*I24)+(D24))*C24*12</f>
        <v>3632428.2563748043</v>
      </c>
      <c r="K24" s="106">
        <v>0.66153845</v>
      </c>
      <c r="L24" s="107">
        <v>3448043.91</v>
      </c>
      <c r="M24" s="107">
        <f>L24-J24</f>
        <v>-184384.34637480415</v>
      </c>
      <c r="N24" s="106">
        <f>M24/12/2.6/C24</f>
        <v>-1969.9182305000443</v>
      </c>
      <c r="P24" s="106">
        <f t="shared" ref="P24:P29" si="0">D24*2.6</f>
        <v>100900.78489930011</v>
      </c>
    </row>
    <row r="25" spans="1:19" s="106" customFormat="1" ht="38.25" thickBot="1" x14ac:dyDescent="0.3">
      <c r="A25" s="231"/>
      <c r="B25" s="231" t="s">
        <v>336</v>
      </c>
      <c r="C25" s="184">
        <v>39.29</v>
      </c>
      <c r="D25" s="71">
        <f>E25+F25+G25</f>
        <v>17954.562135725486</v>
      </c>
      <c r="E25" s="71">
        <f>412003.58/C25</f>
        <v>10486.21990328328</v>
      </c>
      <c r="F25" s="71"/>
      <c r="G25" s="71">
        <f>E25*K25+E25*0.2-1151.56437076049</f>
        <v>7468.3422324422081</v>
      </c>
      <c r="H25" s="149"/>
      <c r="I25" s="71">
        <v>1.6</v>
      </c>
      <c r="J25" s="71">
        <f>((D25*I25)+(D25))*C25*12</f>
        <v>22009564.084954813</v>
      </c>
      <c r="K25" s="106">
        <v>0.62202230000000003</v>
      </c>
      <c r="L25" s="107">
        <v>20860000</v>
      </c>
      <c r="M25" s="107">
        <f>L25-J25</f>
        <v>-1149564.0849548131</v>
      </c>
      <c r="N25" s="201">
        <f>M25/12/2.6/C25</f>
        <v>-937.7704943474339</v>
      </c>
      <c r="P25" s="106">
        <f>D25*2.6</f>
        <v>46681.861552886265</v>
      </c>
    </row>
    <row r="26" spans="1:19" s="106" customFormat="1" ht="57" thickBot="1" x14ac:dyDescent="0.3">
      <c r="A26" s="183"/>
      <c r="B26" s="231" t="s">
        <v>337</v>
      </c>
      <c r="C26" s="184">
        <v>21.4</v>
      </c>
      <c r="D26" s="71">
        <f>E26+F26+G26</f>
        <v>8700.1588687054173</v>
      </c>
      <c r="E26" s="71">
        <f>126581.94/C26</f>
        <v>5915.0439252336455</v>
      </c>
      <c r="F26" s="71"/>
      <c r="G26" s="71">
        <f>E26*K26+376.138657066034</f>
        <v>2785.1149434717727</v>
      </c>
      <c r="H26" s="71"/>
      <c r="I26" s="71">
        <v>1.6</v>
      </c>
      <c r="J26" s="71">
        <f>((D26*I26)+(D26))*C26*12</f>
        <v>5808922.0734572317</v>
      </c>
      <c r="K26" s="106">
        <v>0.40726262000000002</v>
      </c>
      <c r="L26" s="107">
        <v>11046056.09</v>
      </c>
      <c r="M26" s="107">
        <f>L26-J26-J27</f>
        <v>263950.36911093257</v>
      </c>
      <c r="N26" s="202">
        <f>M26/12/2.6/C26</f>
        <v>395.32466018292081</v>
      </c>
      <c r="P26" s="106">
        <f t="shared" si="0"/>
        <v>22620.413058634087</v>
      </c>
    </row>
    <row r="27" spans="1:19" s="106" customFormat="1" ht="38.25" thickBot="1" x14ac:dyDescent="0.3">
      <c r="A27" s="183"/>
      <c r="B27" s="231" t="s">
        <v>338</v>
      </c>
      <c r="C27" s="184">
        <v>20.67</v>
      </c>
      <c r="D27" s="71">
        <f>E27+F27+G27</f>
        <v>7711.5100037088223</v>
      </c>
      <c r="E27" s="109">
        <f>70723.96/C27</f>
        <v>3421.575229801645</v>
      </c>
      <c r="F27" s="109">
        <f>(3168/165.5*365*8*35%/12)+(3168/165.5*12*24/12)</f>
        <v>2089.6676737160119</v>
      </c>
      <c r="G27" s="71">
        <f>E27*K27</f>
        <v>2200.2671001911649</v>
      </c>
      <c r="H27" s="184"/>
      <c r="I27" s="71">
        <v>1.6</v>
      </c>
      <c r="J27" s="71">
        <f>((D27*I27)+(D27))*C27*12</f>
        <v>4973183.6474318355</v>
      </c>
      <c r="K27" s="106">
        <v>0.64305676550000002</v>
      </c>
      <c r="L27" s="107">
        <f>SUM(L24:L26)</f>
        <v>35354100</v>
      </c>
      <c r="M27" s="107"/>
      <c r="N27" s="177"/>
      <c r="P27" s="106">
        <f t="shared" si="0"/>
        <v>20049.926009642939</v>
      </c>
      <c r="R27" s="107">
        <f>L27-J28</f>
        <v>-1069998.0622186884</v>
      </c>
      <c r="S27" s="150">
        <f>R27-259000-100000</f>
        <v>-1428998.0622186884</v>
      </c>
    </row>
    <row r="28" spans="1:19" s="106" customFormat="1" ht="39.75" customHeight="1" thickBot="1" x14ac:dyDescent="0.3">
      <c r="A28" s="333" t="s">
        <v>139</v>
      </c>
      <c r="B28" s="334"/>
      <c r="C28" s="151" t="s">
        <v>140</v>
      </c>
      <c r="D28" s="151"/>
      <c r="E28" s="151" t="s">
        <v>140</v>
      </c>
      <c r="F28" s="151" t="s">
        <v>140</v>
      </c>
      <c r="G28" s="151" t="s">
        <v>140</v>
      </c>
      <c r="H28" s="152" t="s">
        <v>140</v>
      </c>
      <c r="I28" s="151" t="s">
        <v>140</v>
      </c>
      <c r="J28" s="153">
        <f>SUM(J24:J27)</f>
        <v>36424098.062218688</v>
      </c>
      <c r="L28" s="107">
        <f>L27-J28</f>
        <v>-1069998.0622186884</v>
      </c>
      <c r="M28" s="106">
        <f>M27*2.6</f>
        <v>0</v>
      </c>
      <c r="P28" s="106">
        <f t="shared" si="0"/>
        <v>0</v>
      </c>
    </row>
    <row r="29" spans="1:19" s="106" customFormat="1" x14ac:dyDescent="0.25">
      <c r="L29" s="154"/>
      <c r="M29" s="107"/>
      <c r="P29" s="106">
        <f t="shared" si="0"/>
        <v>0</v>
      </c>
    </row>
    <row r="30" spans="1:19" s="106" customFormat="1" x14ac:dyDescent="0.25">
      <c r="L30" s="107"/>
      <c r="M30" s="107"/>
    </row>
    <row r="31" spans="1:19" s="106" customFormat="1" ht="38.25" customHeight="1" x14ac:dyDescent="0.25">
      <c r="A31" s="321" t="s">
        <v>188</v>
      </c>
      <c r="B31" s="321"/>
      <c r="C31" s="321"/>
      <c r="D31" s="321"/>
      <c r="E31" s="321"/>
      <c r="F31" s="321"/>
      <c r="L31" s="107"/>
      <c r="M31" s="107"/>
    </row>
    <row r="32" spans="1:19" s="106" customFormat="1" ht="15.75" thickBot="1" x14ac:dyDescent="0.3">
      <c r="L32" s="107"/>
      <c r="M32" s="107"/>
    </row>
    <row r="33" spans="1:14" s="106" customFormat="1" ht="123" customHeight="1" thickBot="1" x14ac:dyDescent="0.3">
      <c r="A33" s="108" t="s">
        <v>0</v>
      </c>
      <c r="B33" s="181" t="s">
        <v>141</v>
      </c>
      <c r="C33" s="181" t="s">
        <v>142</v>
      </c>
      <c r="D33" s="181" t="s">
        <v>143</v>
      </c>
      <c r="E33" s="181" t="s">
        <v>144</v>
      </c>
      <c r="F33" s="181" t="s">
        <v>145</v>
      </c>
      <c r="L33" s="107"/>
      <c r="N33" s="155"/>
    </row>
    <row r="34" spans="1:14" s="106" customFormat="1" ht="19.5" thickBot="1" x14ac:dyDescent="0.3">
      <c r="A34" s="231">
        <v>1</v>
      </c>
      <c r="B34" s="184">
        <v>2</v>
      </c>
      <c r="C34" s="184">
        <v>3</v>
      </c>
      <c r="D34" s="184">
        <v>4</v>
      </c>
      <c r="E34" s="184">
        <v>5</v>
      </c>
      <c r="F34" s="184">
        <v>6</v>
      </c>
    </row>
    <row r="35" spans="1:14" s="106" customFormat="1" ht="19.5" thickBot="1" x14ac:dyDescent="0.3">
      <c r="A35" s="231">
        <v>1</v>
      </c>
      <c r="B35" s="184"/>
      <c r="C35" s="109">
        <v>0</v>
      </c>
      <c r="D35" s="109">
        <v>0</v>
      </c>
      <c r="E35" s="109">
        <v>0</v>
      </c>
      <c r="F35" s="109">
        <f>C35*D35*E35</f>
        <v>0</v>
      </c>
      <c r="M35" s="107"/>
      <c r="N35" s="107"/>
    </row>
    <row r="36" spans="1:14" s="106" customFormat="1" ht="19.5" thickBot="1" x14ac:dyDescent="0.3">
      <c r="A36" s="231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  <c r="L36" s="156"/>
      <c r="M36" s="107"/>
    </row>
    <row r="37" spans="1:14" s="106" customFormat="1" x14ac:dyDescent="0.25"/>
    <row r="38" spans="1:14" s="106" customFormat="1" ht="18.75" customHeight="1" x14ac:dyDescent="0.25">
      <c r="A38" s="321" t="s">
        <v>189</v>
      </c>
      <c r="B38" s="321"/>
      <c r="C38" s="321"/>
      <c r="D38" s="321"/>
      <c r="E38" s="321"/>
      <c r="F38" s="321"/>
    </row>
    <row r="39" spans="1:14" s="106" customFormat="1" ht="15.75" thickBot="1" x14ac:dyDescent="0.3">
      <c r="L39" s="107"/>
    </row>
    <row r="40" spans="1:14" s="106" customFormat="1" ht="124.5" customHeight="1" thickBot="1" x14ac:dyDescent="0.3">
      <c r="A40" s="108" t="s">
        <v>0</v>
      </c>
      <c r="B40" s="181" t="s">
        <v>141</v>
      </c>
      <c r="C40" s="181" t="s">
        <v>146</v>
      </c>
      <c r="D40" s="181" t="s">
        <v>147</v>
      </c>
      <c r="E40" s="181" t="s">
        <v>148</v>
      </c>
      <c r="F40" s="181" t="s">
        <v>145</v>
      </c>
    </row>
    <row r="41" spans="1:14" s="106" customFormat="1" ht="19.5" thickBot="1" x14ac:dyDescent="0.3">
      <c r="A41" s="231">
        <v>1</v>
      </c>
      <c r="B41" s="184">
        <v>2</v>
      </c>
      <c r="C41" s="184">
        <v>3</v>
      </c>
      <c r="D41" s="184">
        <v>4</v>
      </c>
      <c r="E41" s="184">
        <v>5</v>
      </c>
      <c r="F41" s="184">
        <v>6</v>
      </c>
      <c r="M41" s="107"/>
    </row>
    <row r="42" spans="1:14" s="106" customFormat="1" ht="51.75" customHeight="1" thickBot="1" x14ac:dyDescent="0.3">
      <c r="A42" s="231">
        <v>1</v>
      </c>
      <c r="B42" s="184" t="s">
        <v>320</v>
      </c>
      <c r="C42" s="184">
        <v>7</v>
      </c>
      <c r="D42" s="184">
        <v>12</v>
      </c>
      <c r="E42" s="109">
        <v>90</v>
      </c>
      <c r="F42" s="109">
        <f>C42*D42*E42</f>
        <v>7560</v>
      </c>
    </row>
    <row r="43" spans="1:14" s="106" customFormat="1" ht="19.5" thickBot="1" x14ac:dyDescent="0.3">
      <c r="A43" s="231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7560</v>
      </c>
    </row>
    <row r="44" spans="1:14" s="106" customFormat="1" x14ac:dyDescent="0.25"/>
    <row r="45" spans="1:14" s="106" customFormat="1" ht="80.25" customHeight="1" x14ac:dyDescent="0.25">
      <c r="A45" s="321" t="s">
        <v>190</v>
      </c>
      <c r="B45" s="321"/>
      <c r="C45" s="321"/>
      <c r="D45" s="321"/>
      <c r="E45" s="321"/>
    </row>
    <row r="46" spans="1:14" s="106" customFormat="1" ht="15.75" thickBot="1" x14ac:dyDescent="0.3"/>
    <row r="47" spans="1:14" s="106" customFormat="1" ht="144.75" customHeight="1" thickBot="1" x14ac:dyDescent="0.3">
      <c r="A47" s="108" t="s">
        <v>0</v>
      </c>
      <c r="B47" s="181" t="s">
        <v>149</v>
      </c>
      <c r="C47" s="181" t="s">
        <v>150</v>
      </c>
      <c r="D47" s="181" t="s">
        <v>151</v>
      </c>
    </row>
    <row r="48" spans="1:14" s="106" customFormat="1" ht="19.5" thickBot="1" x14ac:dyDescent="0.3">
      <c r="A48" s="231">
        <v>1</v>
      </c>
      <c r="B48" s="184">
        <v>2</v>
      </c>
      <c r="C48" s="184">
        <v>3</v>
      </c>
      <c r="D48" s="184">
        <v>4</v>
      </c>
    </row>
    <row r="49" spans="1:6" s="106" customFormat="1" ht="113.25" customHeight="1" thickBot="1" x14ac:dyDescent="0.3">
      <c r="A49" s="231">
        <v>1</v>
      </c>
      <c r="B49" s="111" t="s">
        <v>152</v>
      </c>
      <c r="C49" s="184" t="s">
        <v>140</v>
      </c>
      <c r="D49" s="71">
        <f>D50+D52</f>
        <v>8449673.2488980666</v>
      </c>
    </row>
    <row r="50" spans="1:6" s="106" customFormat="1" ht="18.75" x14ac:dyDescent="0.25">
      <c r="A50" s="289" t="s">
        <v>153</v>
      </c>
      <c r="B50" s="112" t="s">
        <v>22</v>
      </c>
      <c r="C50" s="289"/>
      <c r="D50" s="276">
        <f>11436449.29-D53-D54</f>
        <v>8449673.2488980666</v>
      </c>
    </row>
    <row r="51" spans="1:6" s="106" customFormat="1" ht="19.5" thickBot="1" x14ac:dyDescent="0.3">
      <c r="A51" s="281"/>
      <c r="B51" s="113" t="s">
        <v>154</v>
      </c>
      <c r="C51" s="281"/>
      <c r="D51" s="277"/>
    </row>
    <row r="52" spans="1:6" s="106" customFormat="1" ht="19.5" thickBot="1" x14ac:dyDescent="0.3">
      <c r="A52" s="231" t="s">
        <v>155</v>
      </c>
      <c r="B52" s="114" t="s">
        <v>156</v>
      </c>
      <c r="C52" s="184"/>
      <c r="D52" s="71"/>
    </row>
    <row r="53" spans="1:6" s="106" customFormat="1" ht="120.75" customHeight="1" thickBot="1" x14ac:dyDescent="0.3">
      <c r="A53" s="231">
        <v>2</v>
      </c>
      <c r="B53" s="111" t="s">
        <v>157</v>
      </c>
      <c r="C53" s="184" t="s">
        <v>140</v>
      </c>
      <c r="D53" s="71">
        <f>C54*3.1%</f>
        <v>1129147.0399287792</v>
      </c>
    </row>
    <row r="54" spans="1:6" s="106" customFormat="1" ht="164.25" customHeight="1" thickBot="1" x14ac:dyDescent="0.3">
      <c r="A54" s="231">
        <v>3</v>
      </c>
      <c r="B54" s="111" t="s">
        <v>158</v>
      </c>
      <c r="C54" s="71">
        <f>J28</f>
        <v>36424098.062218688</v>
      </c>
      <c r="D54" s="71">
        <f>C54*5.1%</f>
        <v>1857629.0011731531</v>
      </c>
    </row>
    <row r="55" spans="1:6" s="106" customFormat="1" ht="19.5" thickBot="1" x14ac:dyDescent="0.3">
      <c r="A55" s="231"/>
      <c r="B55" s="126" t="s">
        <v>139</v>
      </c>
      <c r="C55" s="85" t="s">
        <v>140</v>
      </c>
      <c r="D55" s="86">
        <f>D50+D53+D54-E66</f>
        <v>11436449.289999999</v>
      </c>
    </row>
    <row r="56" spans="1:6" s="106" customFormat="1" x14ac:dyDescent="0.25"/>
    <row r="57" spans="1:6" s="106" customFormat="1" ht="36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x14ac:dyDescent="0.25"/>
    <row r="59" spans="1:6" s="106" customFormat="1" ht="18.75" x14ac:dyDescent="0.25">
      <c r="A59" s="332" t="s">
        <v>404</v>
      </c>
      <c r="B59" s="332"/>
      <c r="C59" s="332"/>
      <c r="D59" s="332"/>
      <c r="E59" s="332"/>
      <c r="F59" s="332"/>
    </row>
    <row r="60" spans="1:6" s="106" customFormat="1" ht="18.75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9.5" thickBot="1" x14ac:dyDescent="0.3">
      <c r="A61" s="115"/>
    </row>
    <row r="62" spans="1:6" s="106" customFormat="1" ht="108" customHeight="1" thickBot="1" x14ac:dyDescent="0.3">
      <c r="A62" s="108" t="s">
        <v>0</v>
      </c>
      <c r="B62" s="181" t="s">
        <v>1</v>
      </c>
      <c r="C62" s="181" t="s">
        <v>159</v>
      </c>
      <c r="D62" s="181" t="s">
        <v>160</v>
      </c>
      <c r="E62" s="181" t="s">
        <v>161</v>
      </c>
    </row>
    <row r="63" spans="1:6" s="106" customFormat="1" ht="19.5" thickBot="1" x14ac:dyDescent="0.3">
      <c r="A63" s="231">
        <v>1</v>
      </c>
      <c r="B63" s="184">
        <v>2</v>
      </c>
      <c r="C63" s="184">
        <v>3</v>
      </c>
      <c r="D63" s="184">
        <v>4</v>
      </c>
      <c r="E63" s="184">
        <v>5</v>
      </c>
    </row>
    <row r="64" spans="1:6" s="106" customFormat="1" ht="38.25" thickBot="1" x14ac:dyDescent="0.3">
      <c r="A64" s="231">
        <v>1</v>
      </c>
      <c r="B64" s="184" t="s">
        <v>402</v>
      </c>
      <c r="C64" s="184" t="s">
        <v>403</v>
      </c>
      <c r="D64" s="184" t="s">
        <v>403</v>
      </c>
      <c r="E64" s="109">
        <v>0</v>
      </c>
    </row>
    <row r="65" spans="1:12" s="106" customFormat="1" ht="38.25" thickBot="1" x14ac:dyDescent="0.3">
      <c r="A65" s="231">
        <v>2</v>
      </c>
      <c r="B65" s="184" t="s">
        <v>402</v>
      </c>
      <c r="C65" s="184" t="s">
        <v>403</v>
      </c>
      <c r="D65" s="184" t="s">
        <v>403</v>
      </c>
      <c r="E65" s="109">
        <v>0</v>
      </c>
    </row>
    <row r="66" spans="1:12" s="106" customFormat="1" ht="19.5" thickBot="1" x14ac:dyDescent="0.3">
      <c r="A66" s="231"/>
      <c r="B66" s="126" t="s">
        <v>139</v>
      </c>
      <c r="C66" s="85" t="s">
        <v>140</v>
      </c>
      <c r="D66" s="85" t="s">
        <v>140</v>
      </c>
      <c r="E66" s="127">
        <f>SUM(E64:E65)</f>
        <v>0</v>
      </c>
    </row>
    <row r="67" spans="1:12" s="106" customFormat="1" x14ac:dyDescent="0.25"/>
    <row r="68" spans="1:12" s="106" customFormat="1" x14ac:dyDescent="0.25"/>
    <row r="69" spans="1:12" s="106" customFormat="1" ht="18.75" x14ac:dyDescent="0.25">
      <c r="A69" s="326" t="s">
        <v>194</v>
      </c>
      <c r="B69" s="326"/>
      <c r="C69" s="326"/>
      <c r="D69" s="326"/>
      <c r="E69" s="326"/>
      <c r="F69" s="326"/>
      <c r="G69" s="326"/>
    </row>
    <row r="70" spans="1:12" s="106" customFormat="1" ht="18.75" x14ac:dyDescent="0.25">
      <c r="A70" s="116"/>
    </row>
    <row r="71" spans="1:12" s="106" customFormat="1" ht="18.75" x14ac:dyDescent="0.25">
      <c r="A71" s="115"/>
    </row>
    <row r="72" spans="1:12" s="106" customFormat="1" ht="18.75" x14ac:dyDescent="0.25">
      <c r="A72" s="332" t="s">
        <v>312</v>
      </c>
      <c r="B72" s="332"/>
      <c r="C72" s="332"/>
      <c r="D72" s="332"/>
      <c r="E72" s="332"/>
      <c r="F72" s="332"/>
      <c r="G72" s="332"/>
    </row>
    <row r="73" spans="1:12" s="106" customFormat="1" ht="18.75" x14ac:dyDescent="0.25">
      <c r="A73" s="332" t="s">
        <v>311</v>
      </c>
      <c r="B73" s="332"/>
      <c r="C73" s="332"/>
      <c r="D73" s="332"/>
      <c r="E73" s="332"/>
      <c r="F73" s="332"/>
      <c r="G73" s="332"/>
    </row>
    <row r="74" spans="1:12" s="106" customFormat="1" ht="44.25" customHeight="1" thickBot="1" x14ac:dyDescent="0.3">
      <c r="A74" s="115"/>
    </row>
    <row r="75" spans="1:12" s="106" customFormat="1" ht="113.25" thickBot="1" x14ac:dyDescent="0.3">
      <c r="A75" s="108" t="s">
        <v>0</v>
      </c>
      <c r="B75" s="181" t="s">
        <v>141</v>
      </c>
      <c r="C75" s="181" t="s">
        <v>162</v>
      </c>
      <c r="D75" s="181" t="s">
        <v>163</v>
      </c>
      <c r="E75" s="181" t="s">
        <v>164</v>
      </c>
    </row>
    <row r="76" spans="1:12" s="106" customFormat="1" ht="19.5" thickBot="1" x14ac:dyDescent="0.3">
      <c r="A76" s="231">
        <v>1</v>
      </c>
      <c r="B76" s="184">
        <v>2</v>
      </c>
      <c r="C76" s="184">
        <v>3</v>
      </c>
      <c r="D76" s="184">
        <v>4</v>
      </c>
      <c r="E76" s="184">
        <v>5</v>
      </c>
    </row>
    <row r="77" spans="1:12" s="106" customFormat="1" ht="27" customHeight="1" thickBot="1" x14ac:dyDescent="0.3">
      <c r="A77" s="231">
        <v>1</v>
      </c>
      <c r="B77" s="184" t="s">
        <v>309</v>
      </c>
      <c r="C77" s="129">
        <v>37556169.100000001</v>
      </c>
      <c r="D77" s="129">
        <v>2.2000000000000002</v>
      </c>
      <c r="E77" s="158">
        <f>(C77*D77)/100</f>
        <v>826235.7202000001</v>
      </c>
      <c r="H77" s="117"/>
      <c r="L77" s="106">
        <f>813754.14/0.022</f>
        <v>36988824.545454547</v>
      </c>
    </row>
    <row r="78" spans="1:12" s="106" customFormat="1" ht="19.5" thickBot="1" x14ac:dyDescent="0.3">
      <c r="A78" s="231">
        <v>2</v>
      </c>
      <c r="B78" s="184" t="s">
        <v>310</v>
      </c>
      <c r="C78" s="129">
        <v>33917085</v>
      </c>
      <c r="D78" s="129">
        <v>1.5</v>
      </c>
      <c r="E78" s="158">
        <f>(C78*D78)/100</f>
        <v>508756.27500000002</v>
      </c>
    </row>
    <row r="79" spans="1:12" s="106" customFormat="1" ht="19.5" thickBot="1" x14ac:dyDescent="0.3">
      <c r="A79" s="231">
        <v>3</v>
      </c>
      <c r="B79" s="184" t="s">
        <v>409</v>
      </c>
      <c r="C79" s="129"/>
      <c r="D79" s="129"/>
      <c r="E79" s="158">
        <v>0</v>
      </c>
    </row>
    <row r="80" spans="1:12" s="106" customFormat="1" ht="19.5" thickBot="1" x14ac:dyDescent="0.3">
      <c r="A80" s="231"/>
      <c r="B80" s="126" t="s">
        <v>139</v>
      </c>
      <c r="C80" s="130"/>
      <c r="D80" s="130" t="s">
        <v>140</v>
      </c>
      <c r="E80" s="130">
        <f>E78+E77+E79</f>
        <v>1334991.9952000002</v>
      </c>
    </row>
    <row r="81" spans="1:7" s="106" customFormat="1" x14ac:dyDescent="0.25"/>
    <row r="82" spans="1:7" s="106" customFormat="1" ht="18.75" x14ac:dyDescent="0.25">
      <c r="A82" s="326" t="s">
        <v>354</v>
      </c>
      <c r="B82" s="326"/>
      <c r="C82" s="326"/>
      <c r="D82" s="326"/>
      <c r="E82" s="326"/>
    </row>
    <row r="83" spans="1:7" s="106" customFormat="1" ht="18.75" x14ac:dyDescent="0.25">
      <c r="A83" s="116"/>
    </row>
    <row r="84" spans="1:7" s="106" customFormat="1" ht="18.75" x14ac:dyDescent="0.25">
      <c r="A84" s="118" t="s">
        <v>344</v>
      </c>
    </row>
    <row r="85" spans="1:7" s="106" customFormat="1" ht="18.75" x14ac:dyDescent="0.25">
      <c r="A85" s="233" t="s">
        <v>311</v>
      </c>
      <c r="B85" s="233"/>
      <c r="C85" s="233"/>
      <c r="D85" s="233"/>
      <c r="E85" s="233"/>
      <c r="F85" s="233"/>
      <c r="G85" s="233"/>
    </row>
    <row r="86" spans="1:7" s="106" customFormat="1" ht="18.75" x14ac:dyDescent="0.25">
      <c r="A86" s="118"/>
    </row>
    <row r="87" spans="1:7" s="106" customFormat="1" ht="18.75" x14ac:dyDescent="0.25">
      <c r="A87" s="326" t="s">
        <v>355</v>
      </c>
      <c r="B87" s="326"/>
      <c r="C87" s="326"/>
      <c r="D87" s="326"/>
      <c r="E87" s="326"/>
      <c r="F87" s="326"/>
    </row>
    <row r="88" spans="1:7" s="106" customFormat="1" ht="15.75" thickBot="1" x14ac:dyDescent="0.3"/>
    <row r="89" spans="1:7" s="106" customFormat="1" ht="38.25" thickBot="1" x14ac:dyDescent="0.3">
      <c r="A89" s="108" t="s">
        <v>0</v>
      </c>
      <c r="B89" s="181" t="s">
        <v>141</v>
      </c>
      <c r="C89" s="181" t="s">
        <v>166</v>
      </c>
      <c r="D89" s="181" t="s">
        <v>167</v>
      </c>
      <c r="E89" s="181" t="s">
        <v>168</v>
      </c>
      <c r="F89" s="181" t="s">
        <v>145</v>
      </c>
    </row>
    <row r="90" spans="1:7" s="106" customFormat="1" ht="19.5" thickBot="1" x14ac:dyDescent="0.3">
      <c r="A90" s="231">
        <v>1</v>
      </c>
      <c r="B90" s="184">
        <v>2</v>
      </c>
      <c r="C90" s="184">
        <v>3</v>
      </c>
      <c r="D90" s="184">
        <v>4</v>
      </c>
      <c r="E90" s="184">
        <v>5</v>
      </c>
      <c r="F90" s="184">
        <v>6</v>
      </c>
    </row>
    <row r="91" spans="1:7" s="106" customFormat="1" ht="38.25" thickBot="1" x14ac:dyDescent="0.3">
      <c r="A91" s="231">
        <v>1</v>
      </c>
      <c r="B91" s="184" t="s">
        <v>313</v>
      </c>
      <c r="C91" s="184">
        <v>3</v>
      </c>
      <c r="D91" s="184">
        <v>12</v>
      </c>
      <c r="E91" s="129">
        <v>916.66660000000002</v>
      </c>
      <c r="F91" s="158">
        <f>C91*D91*E91</f>
        <v>32999.997600000002</v>
      </c>
    </row>
    <row r="92" spans="1:7" s="106" customFormat="1" ht="30" customHeight="1" thickBot="1" x14ac:dyDescent="0.3">
      <c r="A92" s="231"/>
      <c r="B92" s="126" t="s">
        <v>139</v>
      </c>
      <c r="C92" s="85" t="s">
        <v>140</v>
      </c>
      <c r="D92" s="85" t="s">
        <v>140</v>
      </c>
      <c r="E92" s="85" t="s">
        <v>140</v>
      </c>
      <c r="F92" s="130">
        <f>F91</f>
        <v>32999.997600000002</v>
      </c>
    </row>
    <row r="93" spans="1:7" s="106" customFormat="1" x14ac:dyDescent="0.25"/>
    <row r="94" spans="1:7" s="106" customFormat="1" ht="38.25" customHeight="1" x14ac:dyDescent="0.25">
      <c r="A94" s="326" t="s">
        <v>356</v>
      </c>
      <c r="B94" s="326"/>
      <c r="C94" s="326"/>
      <c r="D94" s="326"/>
      <c r="E94" s="326"/>
      <c r="F94" s="326"/>
    </row>
    <row r="95" spans="1:7" s="106" customFormat="1" ht="15.75" thickBot="1" x14ac:dyDescent="0.3"/>
    <row r="96" spans="1:7" s="106" customFormat="1" ht="38.25" thickBot="1" x14ac:dyDescent="0.3">
      <c r="A96" s="108" t="s">
        <v>0</v>
      </c>
      <c r="B96" s="181" t="s">
        <v>141</v>
      </c>
      <c r="C96" s="181" t="s">
        <v>170</v>
      </c>
      <c r="D96" s="181" t="s">
        <v>171</v>
      </c>
      <c r="E96" s="181" t="s">
        <v>172</v>
      </c>
    </row>
    <row r="97" spans="1:13" s="106" customFormat="1" ht="19.5" thickBot="1" x14ac:dyDescent="0.3">
      <c r="A97" s="231">
        <v>1</v>
      </c>
      <c r="B97" s="184">
        <v>2</v>
      </c>
      <c r="C97" s="184">
        <v>3</v>
      </c>
      <c r="D97" s="184">
        <v>4</v>
      </c>
      <c r="E97" s="184">
        <v>5</v>
      </c>
    </row>
    <row r="98" spans="1:13" s="106" customFormat="1" ht="19.5" thickBot="1" x14ac:dyDescent="0.3">
      <c r="A98" s="231"/>
      <c r="B98" s="184"/>
      <c r="C98" s="109">
        <v>0</v>
      </c>
      <c r="D98" s="109">
        <v>0</v>
      </c>
      <c r="E98" s="109">
        <f>C98*D98</f>
        <v>0</v>
      </c>
    </row>
    <row r="99" spans="1:13" s="106" customFormat="1" ht="19.5" thickBot="1" x14ac:dyDescent="0.3">
      <c r="A99" s="231"/>
      <c r="B99" s="134" t="s">
        <v>139</v>
      </c>
      <c r="C99" s="135">
        <f>C98</f>
        <v>0</v>
      </c>
      <c r="D99" s="135">
        <f>D98</f>
        <v>0</v>
      </c>
      <c r="E99" s="135">
        <f>E98</f>
        <v>0</v>
      </c>
    </row>
    <row r="100" spans="1:13" s="106" customFormat="1" x14ac:dyDescent="0.25"/>
    <row r="101" spans="1:13" s="106" customFormat="1" ht="18.75" x14ac:dyDescent="0.25">
      <c r="A101" s="326" t="s">
        <v>357</v>
      </c>
      <c r="B101" s="326"/>
      <c r="C101" s="326"/>
      <c r="D101" s="326"/>
      <c r="E101" s="326"/>
      <c r="F101" s="326"/>
    </row>
    <row r="102" spans="1:13" s="106" customFormat="1" ht="15.75" thickBot="1" x14ac:dyDescent="0.3"/>
    <row r="103" spans="1:13" s="106" customFormat="1" ht="47.25" customHeight="1" thickBot="1" x14ac:dyDescent="0.3">
      <c r="A103" s="108" t="s">
        <v>0</v>
      </c>
      <c r="B103" s="181" t="s">
        <v>1</v>
      </c>
      <c r="C103" s="181" t="s">
        <v>349</v>
      </c>
      <c r="D103" s="181" t="s">
        <v>345</v>
      </c>
      <c r="E103" s="181" t="s">
        <v>174</v>
      </c>
      <c r="F103" s="181" t="s">
        <v>175</v>
      </c>
      <c r="G103" s="181" t="s">
        <v>351</v>
      </c>
    </row>
    <row r="104" spans="1:13" s="106" customFormat="1" ht="47.25" customHeight="1" thickBot="1" x14ac:dyDescent="0.3">
      <c r="A104" s="231">
        <v>1</v>
      </c>
      <c r="B104" s="184">
        <v>2</v>
      </c>
      <c r="C104" s="184">
        <v>3</v>
      </c>
      <c r="D104" s="184">
        <v>4</v>
      </c>
      <c r="E104" s="184">
        <v>5</v>
      </c>
      <c r="F104" s="184">
        <v>6</v>
      </c>
      <c r="G104" s="184">
        <v>7</v>
      </c>
    </row>
    <row r="105" spans="1:13" s="106" customFormat="1" ht="47.25" customHeight="1" thickBot="1" x14ac:dyDescent="0.3">
      <c r="A105" s="231">
        <v>1</v>
      </c>
      <c r="B105" s="231" t="s">
        <v>314</v>
      </c>
      <c r="C105" s="109" t="s">
        <v>350</v>
      </c>
      <c r="D105" s="109">
        <v>381.68</v>
      </c>
      <c r="E105" s="109">
        <f t="shared" ref="E105:E110" si="1">L105/D105</f>
        <v>6767.4792234332426</v>
      </c>
      <c r="F105" s="184"/>
      <c r="G105" s="109">
        <v>2473322.86</v>
      </c>
      <c r="L105" s="106">
        <v>2583011.4700000002</v>
      </c>
      <c r="M105" s="117">
        <f t="shared" ref="M105:M110" si="2">L105-G105</f>
        <v>109688.61000000034</v>
      </c>
    </row>
    <row r="106" spans="1:13" s="106" customFormat="1" ht="47.25" customHeight="1" thickBot="1" x14ac:dyDescent="0.3">
      <c r="A106" s="231">
        <v>2</v>
      </c>
      <c r="B106" s="231" t="s">
        <v>315</v>
      </c>
      <c r="C106" s="109" t="s">
        <v>350</v>
      </c>
      <c r="D106" s="203">
        <v>175.05</v>
      </c>
      <c r="E106" s="109">
        <f t="shared" si="1"/>
        <v>6972.554184518709</v>
      </c>
      <c r="F106" s="184"/>
      <c r="G106" s="109">
        <v>1142576.53</v>
      </c>
      <c r="L106" s="106">
        <v>1220545.6100000001</v>
      </c>
      <c r="M106" s="117">
        <f t="shared" si="2"/>
        <v>77969.080000000075</v>
      </c>
    </row>
    <row r="107" spans="1:13" s="106" customFormat="1" ht="47.25" customHeight="1" thickBot="1" x14ac:dyDescent="0.3">
      <c r="A107" s="231">
        <v>3</v>
      </c>
      <c r="B107" s="231" t="s">
        <v>316</v>
      </c>
      <c r="C107" s="109" t="s">
        <v>373</v>
      </c>
      <c r="D107" s="109">
        <v>82531</v>
      </c>
      <c r="E107" s="109">
        <f t="shared" si="1"/>
        <v>4.8191753401752067</v>
      </c>
      <c r="F107" s="184"/>
      <c r="G107" s="109">
        <v>456957.66</v>
      </c>
      <c r="L107" s="106">
        <v>397731.36</v>
      </c>
      <c r="M107" s="117">
        <f t="shared" si="2"/>
        <v>-59226.299999999988</v>
      </c>
    </row>
    <row r="108" spans="1:13" s="106" customFormat="1" ht="47.25" customHeight="1" thickBot="1" x14ac:dyDescent="0.3">
      <c r="A108" s="231">
        <v>4</v>
      </c>
      <c r="B108" s="231" t="s">
        <v>317</v>
      </c>
      <c r="C108" s="109" t="s">
        <v>366</v>
      </c>
      <c r="D108" s="109">
        <v>3744</v>
      </c>
      <c r="E108" s="109">
        <f t="shared" si="1"/>
        <v>60.81722222222222</v>
      </c>
      <c r="F108" s="184"/>
      <c r="G108" s="109">
        <v>193468.71</v>
      </c>
      <c r="L108" s="106">
        <v>227699.68</v>
      </c>
      <c r="M108" s="117">
        <f t="shared" si="2"/>
        <v>34230.97</v>
      </c>
    </row>
    <row r="109" spans="1:13" s="106" customFormat="1" ht="23.25" thickBot="1" x14ac:dyDescent="0.3">
      <c r="A109" s="231">
        <v>5</v>
      </c>
      <c r="B109" s="231" t="s">
        <v>318</v>
      </c>
      <c r="C109" s="109" t="s">
        <v>366</v>
      </c>
      <c r="D109" s="109">
        <v>5300.86</v>
      </c>
      <c r="E109" s="109">
        <f t="shared" si="1"/>
        <v>47.488660330587869</v>
      </c>
      <c r="F109" s="184"/>
      <c r="G109" s="109">
        <v>205724.07</v>
      </c>
      <c r="L109" s="106">
        <v>251730.74</v>
      </c>
      <c r="M109" s="117">
        <f t="shared" si="2"/>
        <v>46006.669999999984</v>
      </c>
    </row>
    <row r="110" spans="1:13" s="106" customFormat="1" ht="57" thickBot="1" x14ac:dyDescent="0.3">
      <c r="A110" s="231">
        <v>6</v>
      </c>
      <c r="B110" s="231" t="s">
        <v>319</v>
      </c>
      <c r="C110" s="109" t="s">
        <v>366</v>
      </c>
      <c r="D110" s="109">
        <v>1556.86</v>
      </c>
      <c r="E110" s="109">
        <f t="shared" si="1"/>
        <v>62.652897498811711</v>
      </c>
      <c r="F110" s="184"/>
      <c r="G110" s="109">
        <v>80449.8</v>
      </c>
      <c r="L110" s="106">
        <v>97541.79</v>
      </c>
      <c r="M110" s="117">
        <f t="shared" si="2"/>
        <v>17091.989999999991</v>
      </c>
    </row>
    <row r="111" spans="1:13" s="106" customFormat="1" ht="19.5" thickBot="1" x14ac:dyDescent="0.3">
      <c r="A111" s="231"/>
      <c r="B111" s="126" t="s">
        <v>139</v>
      </c>
      <c r="C111" s="85" t="s">
        <v>140</v>
      </c>
      <c r="D111" s="85" t="s">
        <v>140</v>
      </c>
      <c r="E111" s="85" t="s">
        <v>140</v>
      </c>
      <c r="F111" s="85" t="s">
        <v>140</v>
      </c>
      <c r="G111" s="133">
        <f>G110+G109+G108+G107+G106+G105</f>
        <v>4552499.63</v>
      </c>
      <c r="I111" s="106">
        <v>4778260.6500000004</v>
      </c>
      <c r="J111" s="204">
        <f>SUM(I111-G111)</f>
        <v>225761.02000000048</v>
      </c>
      <c r="M111" s="204"/>
    </row>
    <row r="112" spans="1:13" s="106" customFormat="1" x14ac:dyDescent="0.25"/>
    <row r="113" spans="1:6" s="106" customFormat="1" ht="18.75" x14ac:dyDescent="0.25">
      <c r="A113" s="326" t="s">
        <v>358</v>
      </c>
      <c r="B113" s="326"/>
      <c r="C113" s="326"/>
      <c r="D113" s="326"/>
      <c r="E113" s="326"/>
      <c r="F113" s="118"/>
    </row>
    <row r="114" spans="1:6" s="106" customFormat="1" ht="15.75" thickBot="1" x14ac:dyDescent="0.3"/>
    <row r="115" spans="1:6" s="106" customFormat="1" ht="57" thickBot="1" x14ac:dyDescent="0.3">
      <c r="A115" s="108" t="s">
        <v>0</v>
      </c>
      <c r="B115" s="181" t="s">
        <v>1</v>
      </c>
      <c r="C115" s="181" t="s">
        <v>177</v>
      </c>
      <c r="D115" s="181" t="s">
        <v>178</v>
      </c>
      <c r="E115" s="181" t="s">
        <v>179</v>
      </c>
    </row>
    <row r="116" spans="1:6" s="106" customFormat="1" ht="19.5" thickBot="1" x14ac:dyDescent="0.3">
      <c r="A116" s="231">
        <v>1</v>
      </c>
      <c r="B116" s="184">
        <v>2</v>
      </c>
      <c r="C116" s="184">
        <v>3</v>
      </c>
      <c r="D116" s="184">
        <v>4</v>
      </c>
      <c r="E116" s="184">
        <v>5</v>
      </c>
    </row>
    <row r="117" spans="1:6" s="106" customFormat="1" ht="19.5" thickBot="1" x14ac:dyDescent="0.3">
      <c r="A117" s="231"/>
      <c r="B117" s="184"/>
      <c r="C117" s="184"/>
      <c r="D117" s="184"/>
      <c r="E117" s="184"/>
    </row>
    <row r="118" spans="1:6" s="106" customFormat="1" ht="39.75" customHeight="1" thickBot="1" x14ac:dyDescent="0.3">
      <c r="A118" s="231"/>
      <c r="B118" s="110" t="s">
        <v>139</v>
      </c>
      <c r="C118" s="184" t="s">
        <v>140</v>
      </c>
      <c r="D118" s="184" t="s">
        <v>140</v>
      </c>
      <c r="E118" s="184" t="s">
        <v>140</v>
      </c>
    </row>
    <row r="119" spans="1:6" s="106" customFormat="1" x14ac:dyDescent="0.25"/>
    <row r="120" spans="1:6" s="106" customFormat="1" ht="38.25" customHeight="1" x14ac:dyDescent="0.25">
      <c r="A120" s="321" t="s">
        <v>359</v>
      </c>
      <c r="B120" s="321"/>
      <c r="C120" s="321"/>
      <c r="D120" s="321"/>
      <c r="E120" s="321"/>
    </row>
    <row r="121" spans="1:6" s="106" customFormat="1" ht="19.5" thickBot="1" x14ac:dyDescent="0.3">
      <c r="A121" s="115"/>
    </row>
    <row r="122" spans="1:6" s="106" customFormat="1" ht="38.25" thickBot="1" x14ac:dyDescent="0.3">
      <c r="A122" s="108" t="s">
        <v>0</v>
      </c>
      <c r="B122" s="181" t="s">
        <v>141</v>
      </c>
      <c r="C122" s="181" t="s">
        <v>180</v>
      </c>
      <c r="D122" s="181" t="s">
        <v>181</v>
      </c>
      <c r="E122" s="181" t="s">
        <v>182</v>
      </c>
    </row>
    <row r="123" spans="1:6" s="106" customFormat="1" ht="19.5" thickBot="1" x14ac:dyDescent="0.3">
      <c r="A123" s="231">
        <v>1</v>
      </c>
      <c r="B123" s="184">
        <v>2</v>
      </c>
      <c r="C123" s="184">
        <v>3</v>
      </c>
      <c r="D123" s="184">
        <v>4</v>
      </c>
      <c r="E123" s="184">
        <v>5</v>
      </c>
    </row>
    <row r="124" spans="1:6" s="106" customFormat="1" ht="19.5" thickBot="1" x14ac:dyDescent="0.3">
      <c r="A124" s="231">
        <v>1</v>
      </c>
      <c r="B124" s="120" t="s">
        <v>321</v>
      </c>
      <c r="C124" s="184"/>
      <c r="D124" s="184">
        <v>12</v>
      </c>
      <c r="E124" s="129">
        <v>74040</v>
      </c>
    </row>
    <row r="125" spans="1:6" s="106" customFormat="1" ht="19.5" thickBot="1" x14ac:dyDescent="0.3">
      <c r="A125" s="231">
        <v>2</v>
      </c>
      <c r="B125" s="120" t="s">
        <v>322</v>
      </c>
      <c r="C125" s="184"/>
      <c r="D125" s="184">
        <v>12</v>
      </c>
      <c r="E125" s="129">
        <v>8400</v>
      </c>
    </row>
    <row r="126" spans="1:6" s="106" customFormat="1" ht="24.75" customHeight="1" thickBot="1" x14ac:dyDescent="0.3">
      <c r="A126" s="231">
        <v>3</v>
      </c>
      <c r="B126" s="120" t="s">
        <v>393</v>
      </c>
      <c r="C126" s="184"/>
      <c r="D126" s="184"/>
      <c r="E126" s="129">
        <v>11000</v>
      </c>
    </row>
    <row r="127" spans="1:6" s="106" customFormat="1" ht="19.5" thickBot="1" x14ac:dyDescent="0.3">
      <c r="A127" s="231">
        <v>4</v>
      </c>
      <c r="B127" s="120" t="s">
        <v>323</v>
      </c>
      <c r="C127" s="184"/>
      <c r="D127" s="184">
        <v>12</v>
      </c>
      <c r="E127" s="129">
        <v>81600</v>
      </c>
    </row>
    <row r="128" spans="1:6" s="106" customFormat="1" ht="38.25" thickBot="1" x14ac:dyDescent="0.3">
      <c r="A128" s="231">
        <v>5</v>
      </c>
      <c r="B128" s="120" t="s">
        <v>324</v>
      </c>
      <c r="C128" s="184"/>
      <c r="D128" s="184">
        <v>12</v>
      </c>
      <c r="E128" s="129">
        <v>77760</v>
      </c>
    </row>
    <row r="129" spans="1:12" s="106" customFormat="1" ht="19.5" thickBot="1" x14ac:dyDescent="0.3">
      <c r="A129" s="231">
        <v>6</v>
      </c>
      <c r="B129" s="120" t="s">
        <v>325</v>
      </c>
      <c r="C129" s="184"/>
      <c r="D129" s="184">
        <v>12</v>
      </c>
      <c r="E129" s="129">
        <v>54870</v>
      </c>
    </row>
    <row r="130" spans="1:12" s="106" customFormat="1" ht="57" thickBot="1" x14ac:dyDescent="0.3">
      <c r="A130" s="231">
        <v>7</v>
      </c>
      <c r="B130" s="120" t="s">
        <v>326</v>
      </c>
      <c r="C130" s="184"/>
      <c r="D130" s="184">
        <v>12</v>
      </c>
      <c r="E130" s="129">
        <v>32400</v>
      </c>
    </row>
    <row r="131" spans="1:12" s="106" customFormat="1" ht="38.25" customHeight="1" thickBot="1" x14ac:dyDescent="0.3">
      <c r="A131" s="231">
        <v>8</v>
      </c>
      <c r="B131" s="120" t="s">
        <v>327</v>
      </c>
      <c r="C131" s="184"/>
      <c r="D131" s="184">
        <v>1</v>
      </c>
      <c r="E131" s="129">
        <v>235000</v>
      </c>
    </row>
    <row r="132" spans="1:12" s="106" customFormat="1" ht="38.25" thickBot="1" x14ac:dyDescent="0.3">
      <c r="A132" s="231">
        <v>9</v>
      </c>
      <c r="B132" s="120" t="s">
        <v>328</v>
      </c>
      <c r="C132" s="184"/>
      <c r="D132" s="184">
        <v>4</v>
      </c>
      <c r="E132" s="129">
        <v>4000</v>
      </c>
    </row>
    <row r="133" spans="1:12" s="106" customFormat="1" ht="27" customHeight="1" thickBot="1" x14ac:dyDescent="0.3">
      <c r="A133" s="231">
        <v>10</v>
      </c>
      <c r="B133" s="120" t="s">
        <v>346</v>
      </c>
      <c r="C133" s="184"/>
      <c r="D133" s="184"/>
      <c r="E133" s="129">
        <v>310000</v>
      </c>
    </row>
    <row r="134" spans="1:12" s="106" customFormat="1" ht="38.25" customHeight="1" thickBot="1" x14ac:dyDescent="0.3">
      <c r="A134" s="231">
        <v>11</v>
      </c>
      <c r="B134" s="120" t="s">
        <v>418</v>
      </c>
      <c r="C134" s="184"/>
      <c r="D134" s="184"/>
      <c r="E134" s="129">
        <v>34000.080000000002</v>
      </c>
    </row>
    <row r="135" spans="1:12" s="106" customFormat="1" ht="38.25" customHeight="1" thickBot="1" x14ac:dyDescent="0.3">
      <c r="A135" s="231">
        <v>12</v>
      </c>
      <c r="B135" s="120" t="s">
        <v>330</v>
      </c>
      <c r="C135" s="184"/>
      <c r="D135" s="184">
        <v>1</v>
      </c>
      <c r="E135" s="129">
        <v>34000</v>
      </c>
    </row>
    <row r="136" spans="1:12" s="106" customFormat="1" ht="38.25" thickBot="1" x14ac:dyDescent="0.3">
      <c r="A136" s="231">
        <v>13</v>
      </c>
      <c r="B136" s="120" t="s">
        <v>377</v>
      </c>
      <c r="C136" s="184"/>
      <c r="D136" s="184"/>
      <c r="E136" s="129">
        <v>50000</v>
      </c>
    </row>
    <row r="137" spans="1:12" s="106" customFormat="1" ht="37.5" customHeight="1" thickBot="1" x14ac:dyDescent="0.3">
      <c r="A137" s="231">
        <v>15</v>
      </c>
      <c r="B137" s="120" t="s">
        <v>379</v>
      </c>
      <c r="C137" s="184"/>
      <c r="D137" s="184"/>
      <c r="E137" s="129">
        <v>201669.92</v>
      </c>
    </row>
    <row r="138" spans="1:12" s="106" customFormat="1" ht="38.25" thickBot="1" x14ac:dyDescent="0.3">
      <c r="A138" s="231">
        <v>14</v>
      </c>
      <c r="B138" s="120" t="s">
        <v>329</v>
      </c>
      <c r="C138" s="184"/>
      <c r="D138" s="184"/>
      <c r="E138" s="129">
        <v>18000</v>
      </c>
    </row>
    <row r="139" spans="1:12" s="106" customFormat="1" ht="38.25" thickBot="1" x14ac:dyDescent="0.3">
      <c r="A139" s="231">
        <v>15</v>
      </c>
      <c r="B139" s="120" t="s">
        <v>419</v>
      </c>
      <c r="C139" s="184"/>
      <c r="D139" s="184"/>
      <c r="E139" s="129">
        <v>160000</v>
      </c>
    </row>
    <row r="140" spans="1:12" s="106" customFormat="1" ht="63" customHeight="1" thickBot="1" x14ac:dyDescent="0.3">
      <c r="A140" s="231">
        <v>16</v>
      </c>
      <c r="B140" s="120" t="s">
        <v>421</v>
      </c>
      <c r="C140" s="184"/>
      <c r="D140" s="184"/>
      <c r="E140" s="129">
        <v>10000</v>
      </c>
    </row>
    <row r="141" spans="1:12" s="106" customFormat="1" ht="47.25" customHeight="1" thickBot="1" x14ac:dyDescent="0.3">
      <c r="A141" s="231"/>
      <c r="B141" s="126" t="s">
        <v>139</v>
      </c>
      <c r="C141" s="85" t="s">
        <v>140</v>
      </c>
      <c r="D141" s="85" t="s">
        <v>140</v>
      </c>
      <c r="E141" s="130">
        <f>SUM(E124:E140)</f>
        <v>1396740</v>
      </c>
      <c r="L141" s="204">
        <f>E141-E139-E140</f>
        <v>1226740</v>
      </c>
    </row>
    <row r="142" spans="1:12" s="106" customFormat="1" ht="47.25" customHeight="1" x14ac:dyDescent="0.25"/>
    <row r="143" spans="1:12" s="106" customFormat="1" ht="47.25" customHeight="1" x14ac:dyDescent="0.25">
      <c r="A143" s="321" t="s">
        <v>360</v>
      </c>
      <c r="B143" s="321"/>
      <c r="C143" s="321"/>
      <c r="D143" s="321"/>
      <c r="E143" s="321"/>
    </row>
    <row r="144" spans="1:12" s="106" customFormat="1" ht="24.75" customHeight="1" thickBot="1" x14ac:dyDescent="0.3">
      <c r="A144" s="115"/>
    </row>
    <row r="145" spans="1:12" s="106" customFormat="1" ht="19.5" customHeight="1" thickBot="1" x14ac:dyDescent="0.3">
      <c r="A145" s="108" t="s">
        <v>0</v>
      </c>
      <c r="B145" s="181" t="s">
        <v>141</v>
      </c>
      <c r="C145" s="181" t="s">
        <v>184</v>
      </c>
      <c r="D145" s="181" t="s">
        <v>185</v>
      </c>
    </row>
    <row r="146" spans="1:12" s="106" customFormat="1" ht="19.5" thickBot="1" x14ac:dyDescent="0.3">
      <c r="A146" s="231">
        <v>1</v>
      </c>
      <c r="B146" s="184">
        <v>2</v>
      </c>
      <c r="C146" s="184">
        <v>3</v>
      </c>
      <c r="D146" s="184">
        <v>4</v>
      </c>
    </row>
    <row r="147" spans="1:12" s="106" customFormat="1" ht="19.5" thickBot="1" x14ac:dyDescent="0.3">
      <c r="A147" s="231">
        <v>1</v>
      </c>
      <c r="B147" s="120" t="s">
        <v>331</v>
      </c>
      <c r="C147" s="184">
        <v>1</v>
      </c>
      <c r="D147" s="129">
        <v>81000</v>
      </c>
    </row>
    <row r="148" spans="1:12" s="106" customFormat="1" ht="19.5" thickBot="1" x14ac:dyDescent="0.3">
      <c r="A148" s="231">
        <v>2</v>
      </c>
      <c r="B148" s="120" t="s">
        <v>332</v>
      </c>
      <c r="C148" s="184">
        <v>1</v>
      </c>
      <c r="D148" s="129">
        <v>60000</v>
      </c>
    </row>
    <row r="149" spans="1:12" s="106" customFormat="1" ht="51" customHeight="1" thickBot="1" x14ac:dyDescent="0.3">
      <c r="A149" s="231">
        <v>2</v>
      </c>
      <c r="B149" s="120" t="s">
        <v>334</v>
      </c>
      <c r="C149" s="184"/>
      <c r="D149" s="129">
        <v>128300</v>
      </c>
    </row>
    <row r="150" spans="1:12" s="106" customFormat="1" ht="38.25" thickBot="1" x14ac:dyDescent="0.3">
      <c r="A150" s="231">
        <v>3</v>
      </c>
      <c r="B150" s="120" t="s">
        <v>380</v>
      </c>
      <c r="C150" s="184"/>
      <c r="D150" s="129">
        <v>120000</v>
      </c>
    </row>
    <row r="151" spans="1:12" s="106" customFormat="1" ht="54.75" customHeight="1" thickBot="1" x14ac:dyDescent="0.3">
      <c r="A151" s="231">
        <v>4</v>
      </c>
      <c r="B151" s="120" t="s">
        <v>370</v>
      </c>
      <c r="C151" s="184"/>
      <c r="D151" s="129">
        <v>60000</v>
      </c>
    </row>
    <row r="152" spans="1:12" s="106" customFormat="1" ht="102" customHeight="1" thickBot="1" x14ac:dyDescent="0.3">
      <c r="A152" s="231"/>
      <c r="B152" s="120" t="s">
        <v>394</v>
      </c>
      <c r="C152" s="184"/>
      <c r="D152" s="129">
        <v>30000</v>
      </c>
    </row>
    <row r="153" spans="1:12" s="106" customFormat="1" ht="87" customHeight="1" thickBot="1" x14ac:dyDescent="0.3">
      <c r="A153" s="231">
        <v>5</v>
      </c>
      <c r="B153" s="120" t="s">
        <v>401</v>
      </c>
      <c r="C153" s="184"/>
      <c r="D153" s="129">
        <v>144000</v>
      </c>
    </row>
    <row r="154" spans="1:12" s="106" customFormat="1" ht="49.5" customHeight="1" thickBot="1" x14ac:dyDescent="0.3">
      <c r="A154" s="231">
        <v>6</v>
      </c>
      <c r="B154" s="120" t="s">
        <v>371</v>
      </c>
      <c r="C154" s="184"/>
      <c r="D154" s="129">
        <v>160000</v>
      </c>
    </row>
    <row r="155" spans="1:12" s="106" customFormat="1" ht="50.25" customHeight="1" thickBot="1" x14ac:dyDescent="0.3">
      <c r="A155" s="231"/>
      <c r="B155" s="126" t="s">
        <v>139</v>
      </c>
      <c r="C155" s="85" t="s">
        <v>140</v>
      </c>
      <c r="D155" s="130">
        <f>SUM(D147:D154)</f>
        <v>783300</v>
      </c>
      <c r="L155" s="204" t="e">
        <f>D155-#REF!</f>
        <v>#REF!</v>
      </c>
    </row>
    <row r="156" spans="1:12" s="106" customFormat="1" x14ac:dyDescent="0.25"/>
    <row r="157" spans="1:12" s="106" customFormat="1" ht="18.75" x14ac:dyDescent="0.25">
      <c r="A157" s="321" t="s">
        <v>361</v>
      </c>
      <c r="B157" s="321"/>
      <c r="C157" s="321"/>
      <c r="D157" s="321"/>
      <c r="E157" s="321"/>
      <c r="F157" s="321"/>
    </row>
    <row r="158" spans="1:12" s="106" customFormat="1" ht="15.75" thickBot="1" x14ac:dyDescent="0.3"/>
    <row r="159" spans="1:12" s="106" customFormat="1" ht="57" thickBot="1" x14ac:dyDescent="0.3">
      <c r="A159" s="108" t="s">
        <v>0</v>
      </c>
      <c r="B159" s="181" t="s">
        <v>141</v>
      </c>
      <c r="C159" s="181" t="s">
        <v>177</v>
      </c>
      <c r="D159" s="181" t="s">
        <v>186</v>
      </c>
      <c r="E159" s="181" t="s">
        <v>187</v>
      </c>
    </row>
    <row r="160" spans="1:12" s="106" customFormat="1" ht="19.5" thickBot="1" x14ac:dyDescent="0.3">
      <c r="A160" s="231"/>
      <c r="B160" s="184">
        <v>1</v>
      </c>
      <c r="C160" s="184">
        <v>2</v>
      </c>
      <c r="D160" s="184">
        <v>3</v>
      </c>
      <c r="E160" s="184">
        <v>4</v>
      </c>
    </row>
    <row r="161" spans="1:14" s="106" customFormat="1" ht="38.25" thickBot="1" x14ac:dyDescent="0.3">
      <c r="A161" s="231">
        <v>1</v>
      </c>
      <c r="B161" s="120" t="s">
        <v>339</v>
      </c>
      <c r="C161" s="184"/>
      <c r="D161" s="129">
        <f>E161</f>
        <v>120000</v>
      </c>
      <c r="E161" s="129">
        <v>120000</v>
      </c>
    </row>
    <row r="162" spans="1:14" s="106" customFormat="1" ht="94.5" thickBot="1" x14ac:dyDescent="0.3">
      <c r="A162" s="231">
        <v>2</v>
      </c>
      <c r="B162" s="120" t="s">
        <v>341</v>
      </c>
      <c r="C162" s="184"/>
      <c r="D162" s="129">
        <f>E162</f>
        <v>700000</v>
      </c>
      <c r="E162" s="129">
        <v>700000</v>
      </c>
    </row>
    <row r="163" spans="1:14" s="106" customFormat="1" ht="38.25" thickBot="1" x14ac:dyDescent="0.3">
      <c r="A163" s="230"/>
      <c r="B163" s="128" t="s">
        <v>347</v>
      </c>
      <c r="C163" s="85"/>
      <c r="D163" s="130"/>
      <c r="E163" s="130">
        <f>E162+E161</f>
        <v>820000</v>
      </c>
    </row>
    <row r="164" spans="1:14" s="106" customFormat="1" ht="38.25" thickBot="1" x14ac:dyDescent="0.3">
      <c r="A164" s="231">
        <v>1</v>
      </c>
      <c r="B164" s="120" t="s">
        <v>340</v>
      </c>
      <c r="C164" s="184"/>
      <c r="D164" s="129">
        <f>E164</f>
        <v>135000</v>
      </c>
      <c r="E164" s="129">
        <v>135000</v>
      </c>
      <c r="L164" s="204" t="e">
        <f>F43+F92+E124+E125+E126+E127+E128+E129+E130+E131+E132+E133+E134+E135+#REF!+E138+D147+D149+D150+D151+D153+D154+E161+E164+E165</f>
        <v>#REF!</v>
      </c>
      <c r="M164" s="106">
        <v>2880479.72</v>
      </c>
      <c r="N164" s="204" t="e">
        <f>L164-M164</f>
        <v>#REF!</v>
      </c>
    </row>
    <row r="165" spans="1:14" s="106" customFormat="1" ht="38.25" thickBot="1" x14ac:dyDescent="0.3">
      <c r="A165" s="231">
        <v>2</v>
      </c>
      <c r="B165" s="120" t="s">
        <v>372</v>
      </c>
      <c r="C165" s="184"/>
      <c r="D165" s="129">
        <f>E165</f>
        <v>374400</v>
      </c>
      <c r="E165" s="129">
        <v>374400</v>
      </c>
      <c r="L165" s="204" t="e">
        <f>E139+E140+#REF!+E162+E166</f>
        <v>#REF!</v>
      </c>
      <c r="M165" s="117">
        <v>993823</v>
      </c>
      <c r="N165" s="204" t="e">
        <f>L165-M165</f>
        <v>#REF!</v>
      </c>
    </row>
    <row r="166" spans="1:14" s="106" customFormat="1" ht="75.75" thickBot="1" x14ac:dyDescent="0.3">
      <c r="A166" s="231">
        <v>3</v>
      </c>
      <c r="B166" s="120" t="s">
        <v>408</v>
      </c>
      <c r="C166" s="184"/>
      <c r="D166" s="129">
        <f>E166</f>
        <v>0</v>
      </c>
      <c r="E166" s="129">
        <v>0</v>
      </c>
    </row>
    <row r="167" spans="1:14" s="106" customFormat="1" ht="38.25" thickBot="1" x14ac:dyDescent="0.3">
      <c r="A167" s="230"/>
      <c r="B167" s="128" t="s">
        <v>348</v>
      </c>
      <c r="C167" s="85"/>
      <c r="D167" s="130"/>
      <c r="E167" s="130">
        <f>E166+E165+E164</f>
        <v>509400</v>
      </c>
    </row>
    <row r="169" spans="1:14" x14ac:dyDescent="0.25">
      <c r="A169" s="106" t="s">
        <v>420</v>
      </c>
    </row>
    <row r="170" spans="1:14" x14ac:dyDescent="0.25">
      <c r="A170" s="106" t="s">
        <v>428</v>
      </c>
    </row>
    <row r="171" spans="1:14" x14ac:dyDescent="0.25">
      <c r="L171" s="216">
        <f>J28+F43+D55+E80+F92+G111+E141+D155+E163+E167</f>
        <v>57298038.975018688</v>
      </c>
    </row>
    <row r="173" spans="1:14" x14ac:dyDescent="0.25">
      <c r="L173">
        <v>55499738</v>
      </c>
    </row>
    <row r="174" spans="1:14" x14ac:dyDescent="0.25">
      <c r="L174" s="216">
        <f>L171-L173</f>
        <v>1798300.9750186875</v>
      </c>
    </row>
    <row r="176" spans="1:14" x14ac:dyDescent="0.25">
      <c r="F176" s="106">
        <v>221</v>
      </c>
      <c r="G176" s="204">
        <f>F92</f>
        <v>32999.997600000002</v>
      </c>
    </row>
    <row r="178" spans="6:7" x14ac:dyDescent="0.25">
      <c r="F178" s="106">
        <v>225</v>
      </c>
      <c r="G178" s="204">
        <f>E141</f>
        <v>1396740</v>
      </c>
    </row>
    <row r="181" spans="6:7" x14ac:dyDescent="0.25">
      <c r="F181" s="106">
        <v>226</v>
      </c>
      <c r="G181" s="204">
        <f>D155</f>
        <v>783300</v>
      </c>
    </row>
    <row r="185" spans="6:7" x14ac:dyDescent="0.25">
      <c r="F185" s="106">
        <v>310</v>
      </c>
      <c r="G185" s="204">
        <f>E163</f>
        <v>820000</v>
      </c>
    </row>
    <row r="189" spans="6:7" x14ac:dyDescent="0.25">
      <c r="F189" s="106">
        <v>340</v>
      </c>
      <c r="G189" s="204">
        <f>E167</f>
        <v>509400</v>
      </c>
    </row>
    <row r="195" spans="7:7" x14ac:dyDescent="0.25">
      <c r="G195" s="204">
        <f>SUM(G176:G188)</f>
        <v>3033039.9975999999</v>
      </c>
    </row>
  </sheetData>
  <mergeCells count="35">
    <mergeCell ref="A113:E113"/>
    <mergeCell ref="A120:E120"/>
    <mergeCell ref="A73:G73"/>
    <mergeCell ref="A82:E82"/>
    <mergeCell ref="A87:F87"/>
    <mergeCell ref="A94:F94"/>
    <mergeCell ref="A101:F101"/>
    <mergeCell ref="A57:F57"/>
    <mergeCell ref="A59:F59"/>
    <mergeCell ref="A60:F60"/>
    <mergeCell ref="A69:G69"/>
    <mergeCell ref="A72:G72"/>
    <mergeCell ref="H20:H22"/>
    <mergeCell ref="A31:F31"/>
    <mergeCell ref="A38:F38"/>
    <mergeCell ref="A45:E45"/>
    <mergeCell ref="A50:A51"/>
    <mergeCell ref="C50:C51"/>
    <mergeCell ref="D50:D51"/>
    <mergeCell ref="A143:E143"/>
    <mergeCell ref="A157:F157"/>
    <mergeCell ref="A11:J11"/>
    <mergeCell ref="A13:J13"/>
    <mergeCell ref="A15:J15"/>
    <mergeCell ref="A16:J16"/>
    <mergeCell ref="A18:J18"/>
    <mergeCell ref="I20:I22"/>
    <mergeCell ref="J20:J22"/>
    <mergeCell ref="D21:D22"/>
    <mergeCell ref="E21:G21"/>
    <mergeCell ref="A28:B28"/>
    <mergeCell ref="A20:A22"/>
    <mergeCell ref="B20:B22"/>
    <mergeCell ref="C20:C22"/>
    <mergeCell ref="D20:G20"/>
  </mergeCells>
  <pageMargins left="0.7" right="0.7" top="0.75" bottom="0.75" header="0.3" footer="0.3"/>
  <pageSetup paperSize="9" scale="52" orientation="landscape" r:id="rId1"/>
  <rowBreaks count="7" manualBreakCount="7">
    <brk id="30" max="9" man="1"/>
    <brk id="44" max="9" man="1"/>
    <brk id="56" max="9" man="1"/>
    <brk id="81" max="9" man="1"/>
    <brk id="111" max="9" man="1"/>
    <brk id="141" max="9" man="1"/>
    <brk id="15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95"/>
  <sheetViews>
    <sheetView view="pageBreakPreview" topLeftCell="A160" zoomScale="60" zoomScaleNormal="72" workbookViewId="0">
      <selection activeCell="F22" sqref="F22"/>
    </sheetView>
  </sheetViews>
  <sheetFormatPr defaultRowHeight="15" x14ac:dyDescent="0.25"/>
  <cols>
    <col min="1" max="1" width="8.5703125" customWidth="1"/>
    <col min="2" max="2" width="30.140625" customWidth="1"/>
    <col min="3" max="3" width="23.85546875" customWidth="1"/>
    <col min="4" max="4" width="19.5703125" customWidth="1"/>
    <col min="5" max="5" width="21.7109375" customWidth="1"/>
    <col min="6" max="6" width="21.42578125" customWidth="1"/>
    <col min="7" max="7" width="24.5703125" customWidth="1"/>
    <col min="8" max="8" width="15.42578125" customWidth="1"/>
    <col min="9" max="9" width="15" customWidth="1"/>
    <col min="10" max="10" width="21.140625" customWidth="1"/>
    <col min="12" max="12" width="25.85546875" customWidth="1"/>
    <col min="13" max="13" width="18.7109375" customWidth="1"/>
    <col min="14" max="14" width="29.140625" customWidth="1"/>
    <col min="18" max="18" width="16.7109375" customWidth="1"/>
    <col min="19" max="19" width="13.42578125" bestFit="1" customWidth="1"/>
  </cols>
  <sheetData>
    <row r="1" spans="1:10" ht="18.75" x14ac:dyDescent="0.25">
      <c r="J1" s="11" t="s">
        <v>119</v>
      </c>
    </row>
    <row r="2" spans="1:10" ht="18.75" x14ac:dyDescent="0.25">
      <c r="J2" s="11" t="s">
        <v>120</v>
      </c>
    </row>
    <row r="3" spans="1:10" ht="16.5" x14ac:dyDescent="0.25">
      <c r="J3" s="21" t="s">
        <v>121</v>
      </c>
    </row>
    <row r="4" spans="1:10" ht="16.5" x14ac:dyDescent="0.25">
      <c r="J4" s="21" t="s">
        <v>122</v>
      </c>
    </row>
    <row r="5" spans="1:10" ht="16.5" x14ac:dyDescent="0.25">
      <c r="J5" s="21" t="s">
        <v>123</v>
      </c>
    </row>
    <row r="6" spans="1:10" ht="16.5" x14ac:dyDescent="0.25">
      <c r="J6" s="21" t="s">
        <v>124</v>
      </c>
    </row>
    <row r="7" spans="1:10" ht="16.5" x14ac:dyDescent="0.25">
      <c r="J7" s="21" t="s">
        <v>125</v>
      </c>
    </row>
    <row r="8" spans="1:10" ht="16.5" x14ac:dyDescent="0.25">
      <c r="J8" s="21" t="s">
        <v>126</v>
      </c>
    </row>
    <row r="11" spans="1:10" ht="15" customHeight="1" x14ac:dyDescent="0.25">
      <c r="A11" s="263" t="s">
        <v>429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ht="18.75" x14ac:dyDescent="0.25">
      <c r="A12" s="104"/>
      <c r="B12" s="104"/>
      <c r="C12" s="207"/>
      <c r="D12" s="104"/>
      <c r="E12" s="104"/>
      <c r="F12" s="104"/>
      <c r="G12" s="104"/>
      <c r="H12" s="104"/>
      <c r="I12" s="104"/>
      <c r="J12" s="104"/>
    </row>
    <row r="13" spans="1:10" ht="18.75" x14ac:dyDescent="0.25">
      <c r="A13" s="263" t="s">
        <v>127</v>
      </c>
      <c r="B13" s="263"/>
      <c r="C13" s="263"/>
      <c r="D13" s="263"/>
      <c r="E13" s="263"/>
      <c r="F13" s="263"/>
      <c r="G13" s="263"/>
      <c r="H13" s="263"/>
      <c r="I13" s="263"/>
      <c r="J13" s="263"/>
    </row>
    <row r="14" spans="1:10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8.75" x14ac:dyDescent="0.25">
      <c r="A15" s="335" t="s">
        <v>342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21" customHeight="1" x14ac:dyDescent="0.25">
      <c r="A16" s="335" t="s">
        <v>343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9" ht="18.75" x14ac:dyDescent="0.25">
      <c r="A17" s="22"/>
    </row>
    <row r="18" spans="1:19" ht="18.75" x14ac:dyDescent="0.25">
      <c r="A18" s="263" t="s">
        <v>128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9" ht="15.75" thickBot="1" x14ac:dyDescent="0.3">
      <c r="L19" s="103"/>
    </row>
    <row r="20" spans="1:19" ht="36" customHeight="1" thickBot="1" x14ac:dyDescent="0.3">
      <c r="A20" s="273" t="s">
        <v>0</v>
      </c>
      <c r="B20" s="273" t="s">
        <v>129</v>
      </c>
      <c r="C20" s="273" t="s">
        <v>130</v>
      </c>
      <c r="D20" s="304" t="s">
        <v>131</v>
      </c>
      <c r="E20" s="305"/>
      <c r="F20" s="305"/>
      <c r="G20" s="306"/>
      <c r="H20" s="273" t="s">
        <v>132</v>
      </c>
      <c r="I20" s="273" t="s">
        <v>133</v>
      </c>
      <c r="J20" s="273" t="s">
        <v>134</v>
      </c>
      <c r="L20" s="103"/>
    </row>
    <row r="21" spans="1:19" ht="19.5" thickBot="1" x14ac:dyDescent="0.3">
      <c r="A21" s="303"/>
      <c r="B21" s="303"/>
      <c r="C21" s="303"/>
      <c r="D21" s="273" t="s">
        <v>135</v>
      </c>
      <c r="E21" s="304" t="s">
        <v>22</v>
      </c>
      <c r="F21" s="305"/>
      <c r="G21" s="306"/>
      <c r="H21" s="303"/>
      <c r="I21" s="303"/>
      <c r="J21" s="303"/>
    </row>
    <row r="22" spans="1:19" ht="109.5" customHeight="1" thickBot="1" x14ac:dyDescent="0.3">
      <c r="A22" s="274"/>
      <c r="B22" s="274"/>
      <c r="C22" s="274"/>
      <c r="D22" s="274"/>
      <c r="E22" s="214" t="s">
        <v>136</v>
      </c>
      <c r="F22" s="214" t="s">
        <v>137</v>
      </c>
      <c r="G22" s="214" t="s">
        <v>138</v>
      </c>
      <c r="H22" s="274"/>
      <c r="I22" s="274"/>
      <c r="J22" s="274"/>
      <c r="L22" s="103"/>
    </row>
    <row r="23" spans="1:19" s="106" customFormat="1" ht="19.5" thickBot="1" x14ac:dyDescent="0.3">
      <c r="A23" s="210">
        <v>1</v>
      </c>
      <c r="B23" s="184">
        <v>2</v>
      </c>
      <c r="C23" s="184">
        <v>3</v>
      </c>
      <c r="D23" s="184">
        <v>4</v>
      </c>
      <c r="E23" s="184">
        <v>5</v>
      </c>
      <c r="F23" s="184">
        <v>6</v>
      </c>
      <c r="G23" s="184">
        <v>7</v>
      </c>
      <c r="H23" s="184">
        <v>8</v>
      </c>
      <c r="I23" s="184">
        <v>9</v>
      </c>
      <c r="J23" s="184">
        <v>10</v>
      </c>
      <c r="L23" s="157"/>
    </row>
    <row r="24" spans="1:19" s="106" customFormat="1" ht="38.25" thickBot="1" x14ac:dyDescent="0.3">
      <c r="A24" s="210"/>
      <c r="B24" s="210" t="s">
        <v>335</v>
      </c>
      <c r="C24" s="184">
        <v>3</v>
      </c>
      <c r="D24" s="71">
        <f>E24+F24+G24</f>
        <v>38807.994192038503</v>
      </c>
      <c r="E24" s="71">
        <f>70069.99/C24</f>
        <v>23356.663333333334</v>
      </c>
      <c r="F24" s="71"/>
      <c r="G24" s="71">
        <f>E24*K24</f>
        <v>15451.330858705167</v>
      </c>
      <c r="H24" s="71"/>
      <c r="I24" s="71">
        <v>1.6</v>
      </c>
      <c r="J24" s="71">
        <f>((D24*I24)+(D24))*C24*12</f>
        <v>3632428.2563748043</v>
      </c>
      <c r="K24" s="106">
        <v>0.66153845</v>
      </c>
      <c r="L24" s="107">
        <v>3448043.91</v>
      </c>
      <c r="M24" s="107">
        <f>L24-J24</f>
        <v>-184384.34637480415</v>
      </c>
      <c r="N24" s="106">
        <f>M24/12/2.6/C24</f>
        <v>-1969.9182305000443</v>
      </c>
      <c r="P24" s="106">
        <f t="shared" ref="P24:P29" si="0">D24*2.6</f>
        <v>100900.78489930011</v>
      </c>
    </row>
    <row r="25" spans="1:19" s="106" customFormat="1" ht="38.25" thickBot="1" x14ac:dyDescent="0.3">
      <c r="A25" s="210"/>
      <c r="B25" s="210" t="s">
        <v>336</v>
      </c>
      <c r="C25" s="184">
        <v>39.29</v>
      </c>
      <c r="D25" s="71">
        <f>E25+F25+G25</f>
        <v>17954.562135725486</v>
      </c>
      <c r="E25" s="71">
        <f>412003.58/C25</f>
        <v>10486.21990328328</v>
      </c>
      <c r="F25" s="71"/>
      <c r="G25" s="71">
        <f>E25*K25+E25*0.2-1151.56437076049</f>
        <v>7468.3422324422081</v>
      </c>
      <c r="H25" s="149"/>
      <c r="I25" s="71">
        <v>1.6</v>
      </c>
      <c r="J25" s="71">
        <f>((D25*I25)+(D25))*C25*12</f>
        <v>22009564.084954813</v>
      </c>
      <c r="K25" s="106">
        <v>0.62202230000000003</v>
      </c>
      <c r="L25" s="107">
        <v>20860000</v>
      </c>
      <c r="M25" s="107">
        <f>L25-J25</f>
        <v>-1149564.0849548131</v>
      </c>
      <c r="N25" s="201">
        <f>M25/12/2.6/C25</f>
        <v>-937.7704943474339</v>
      </c>
      <c r="P25" s="106">
        <f>D25*2.6</f>
        <v>46681.861552886265</v>
      </c>
    </row>
    <row r="26" spans="1:19" s="106" customFormat="1" ht="57" thickBot="1" x14ac:dyDescent="0.3">
      <c r="A26" s="183"/>
      <c r="B26" s="210" t="s">
        <v>337</v>
      </c>
      <c r="C26" s="184">
        <v>21.4</v>
      </c>
      <c r="D26" s="71">
        <f>E26+F26+G26</f>
        <v>8700.1588687054173</v>
      </c>
      <c r="E26" s="71">
        <f>126581.94/C26</f>
        <v>5915.0439252336455</v>
      </c>
      <c r="F26" s="71"/>
      <c r="G26" s="71">
        <f>E26*K26+376.138657066034</f>
        <v>2785.1149434717727</v>
      </c>
      <c r="H26" s="71"/>
      <c r="I26" s="71">
        <v>1.6</v>
      </c>
      <c r="J26" s="71">
        <f>((D26*I26)+(D26))*C26*12</f>
        <v>5808922.0734572317</v>
      </c>
      <c r="K26" s="106">
        <v>0.40726262000000002</v>
      </c>
      <c r="L26" s="107">
        <v>11046056.09</v>
      </c>
      <c r="M26" s="107">
        <f>L26-J26-J27</f>
        <v>404409.19526758883</v>
      </c>
      <c r="N26" s="202">
        <f>M26/12/2.6/C26</f>
        <v>605.69313932960233</v>
      </c>
      <c r="P26" s="106">
        <f t="shared" si="0"/>
        <v>22620.413058634087</v>
      </c>
    </row>
    <row r="27" spans="1:19" s="106" customFormat="1" ht="38.25" thickBot="1" x14ac:dyDescent="0.3">
      <c r="A27" s="183"/>
      <c r="B27" s="210" t="s">
        <v>338</v>
      </c>
      <c r="C27" s="184">
        <v>20.67</v>
      </c>
      <c r="D27" s="71">
        <f>E27+F27+G27</f>
        <v>7493.7119653082909</v>
      </c>
      <c r="E27" s="109">
        <f>70723.96/C27</f>
        <v>3421.575229801645</v>
      </c>
      <c r="F27" s="109">
        <f>(3168/165.5*365*8*35%/12)+(3168/165.5*12*24/12)</f>
        <v>2089.6676737160119</v>
      </c>
      <c r="G27" s="71">
        <f>E27*K27+0.000025</f>
        <v>1982.4690617906338</v>
      </c>
      <c r="H27" s="184"/>
      <c r="I27" s="71">
        <v>1.6</v>
      </c>
      <c r="J27" s="71">
        <f>((D27*I27)+(D27))*C27*12</f>
        <v>4832724.8212751793</v>
      </c>
      <c r="K27" s="106">
        <v>0.57940243999999996</v>
      </c>
      <c r="L27" s="107">
        <f>SUM(L24:L26)</f>
        <v>35354100</v>
      </c>
      <c r="M27" s="107"/>
      <c r="N27" s="177"/>
      <c r="P27" s="106">
        <f t="shared" si="0"/>
        <v>19483.651109801558</v>
      </c>
      <c r="R27" s="107">
        <f>L27-J28</f>
        <v>-929539.23606203496</v>
      </c>
      <c r="S27" s="150">
        <f>R27-259000-100000</f>
        <v>-1288539.236062035</v>
      </c>
    </row>
    <row r="28" spans="1:19" s="106" customFormat="1" ht="39.75" customHeight="1" thickBot="1" x14ac:dyDescent="0.3">
      <c r="A28" s="333" t="s">
        <v>139</v>
      </c>
      <c r="B28" s="334"/>
      <c r="C28" s="151" t="s">
        <v>140</v>
      </c>
      <c r="D28" s="151"/>
      <c r="E28" s="151" t="s">
        <v>140</v>
      </c>
      <c r="F28" s="151" t="s">
        <v>140</v>
      </c>
      <c r="G28" s="151" t="s">
        <v>140</v>
      </c>
      <c r="H28" s="152" t="s">
        <v>140</v>
      </c>
      <c r="I28" s="151" t="s">
        <v>140</v>
      </c>
      <c r="J28" s="153">
        <f>SUM(J24:J27)</f>
        <v>36283639.236062035</v>
      </c>
      <c r="L28" s="107">
        <f>L27-J28</f>
        <v>-929539.23606203496</v>
      </c>
      <c r="M28" s="106">
        <f>M27*2.6</f>
        <v>0</v>
      </c>
      <c r="P28" s="106">
        <f t="shared" si="0"/>
        <v>0</v>
      </c>
    </row>
    <row r="29" spans="1:19" s="106" customFormat="1" x14ac:dyDescent="0.25">
      <c r="L29" s="154"/>
      <c r="M29" s="107"/>
      <c r="P29" s="106">
        <f t="shared" si="0"/>
        <v>0</v>
      </c>
    </row>
    <row r="30" spans="1:19" s="106" customFormat="1" x14ac:dyDescent="0.25">
      <c r="L30" s="107"/>
      <c r="M30" s="107"/>
    </row>
    <row r="31" spans="1:19" s="106" customFormat="1" ht="38.25" customHeight="1" x14ac:dyDescent="0.25">
      <c r="A31" s="321" t="s">
        <v>188</v>
      </c>
      <c r="B31" s="321"/>
      <c r="C31" s="321"/>
      <c r="D31" s="321"/>
      <c r="E31" s="321"/>
      <c r="F31" s="321"/>
      <c r="L31" s="107"/>
      <c r="M31" s="107"/>
    </row>
    <row r="32" spans="1:19" s="106" customFormat="1" ht="15.75" thickBot="1" x14ac:dyDescent="0.3">
      <c r="L32" s="107"/>
      <c r="M32" s="107"/>
    </row>
    <row r="33" spans="1:14" s="106" customFormat="1" ht="123" customHeight="1" thickBot="1" x14ac:dyDescent="0.3">
      <c r="A33" s="108" t="s">
        <v>0</v>
      </c>
      <c r="B33" s="181" t="s">
        <v>141</v>
      </c>
      <c r="C33" s="181" t="s">
        <v>142</v>
      </c>
      <c r="D33" s="181" t="s">
        <v>143</v>
      </c>
      <c r="E33" s="181" t="s">
        <v>144</v>
      </c>
      <c r="F33" s="181" t="s">
        <v>145</v>
      </c>
      <c r="L33" s="107"/>
      <c r="N33" s="155"/>
    </row>
    <row r="34" spans="1:14" s="106" customFormat="1" ht="19.5" thickBot="1" x14ac:dyDescent="0.3">
      <c r="A34" s="210">
        <v>1</v>
      </c>
      <c r="B34" s="184">
        <v>2</v>
      </c>
      <c r="C34" s="184">
        <v>3</v>
      </c>
      <c r="D34" s="184">
        <v>4</v>
      </c>
      <c r="E34" s="184">
        <v>5</v>
      </c>
      <c r="F34" s="184">
        <v>6</v>
      </c>
    </row>
    <row r="35" spans="1:14" s="106" customFormat="1" ht="19.5" thickBot="1" x14ac:dyDescent="0.3">
      <c r="A35" s="210">
        <v>1</v>
      </c>
      <c r="B35" s="184"/>
      <c r="C35" s="109">
        <v>0</v>
      </c>
      <c r="D35" s="109">
        <v>0</v>
      </c>
      <c r="E35" s="109">
        <v>0</v>
      </c>
      <c r="F35" s="109">
        <f>C35*D35*E35</f>
        <v>0</v>
      </c>
      <c r="M35" s="107"/>
      <c r="N35" s="107"/>
    </row>
    <row r="36" spans="1:14" s="106" customFormat="1" ht="19.5" thickBot="1" x14ac:dyDescent="0.3">
      <c r="A36" s="210"/>
      <c r="B36" s="126" t="s">
        <v>139</v>
      </c>
      <c r="C36" s="85" t="s">
        <v>140</v>
      </c>
      <c r="D36" s="85" t="s">
        <v>140</v>
      </c>
      <c r="E36" s="85" t="s">
        <v>140</v>
      </c>
      <c r="F36" s="127">
        <f>F35</f>
        <v>0</v>
      </c>
      <c r="L36" s="156"/>
      <c r="M36" s="107"/>
    </row>
    <row r="37" spans="1:14" s="106" customFormat="1" x14ac:dyDescent="0.25"/>
    <row r="38" spans="1:14" s="106" customFormat="1" ht="18.75" customHeight="1" x14ac:dyDescent="0.25">
      <c r="A38" s="321" t="s">
        <v>189</v>
      </c>
      <c r="B38" s="321"/>
      <c r="C38" s="321"/>
      <c r="D38" s="321"/>
      <c r="E38" s="321"/>
      <c r="F38" s="321"/>
    </row>
    <row r="39" spans="1:14" s="106" customFormat="1" ht="15.75" thickBot="1" x14ac:dyDescent="0.3">
      <c r="L39" s="107"/>
    </row>
    <row r="40" spans="1:14" s="106" customFormat="1" ht="124.5" customHeight="1" thickBot="1" x14ac:dyDescent="0.3">
      <c r="A40" s="108" t="s">
        <v>0</v>
      </c>
      <c r="B40" s="181" t="s">
        <v>141</v>
      </c>
      <c r="C40" s="181" t="s">
        <v>146</v>
      </c>
      <c r="D40" s="181" t="s">
        <v>147</v>
      </c>
      <c r="E40" s="181" t="s">
        <v>148</v>
      </c>
      <c r="F40" s="181" t="s">
        <v>145</v>
      </c>
    </row>
    <row r="41" spans="1:14" s="106" customFormat="1" ht="19.5" thickBot="1" x14ac:dyDescent="0.3">
      <c r="A41" s="210">
        <v>1</v>
      </c>
      <c r="B41" s="184">
        <v>2</v>
      </c>
      <c r="C41" s="184">
        <v>3</v>
      </c>
      <c r="D41" s="184">
        <v>4</v>
      </c>
      <c r="E41" s="184">
        <v>5</v>
      </c>
      <c r="F41" s="184">
        <v>6</v>
      </c>
      <c r="M41" s="107"/>
    </row>
    <row r="42" spans="1:14" s="106" customFormat="1" ht="51.75" customHeight="1" thickBot="1" x14ac:dyDescent="0.3">
      <c r="A42" s="210">
        <v>1</v>
      </c>
      <c r="B42" s="184" t="s">
        <v>320</v>
      </c>
      <c r="C42" s="184">
        <v>7</v>
      </c>
      <c r="D42" s="184">
        <v>12</v>
      </c>
      <c r="E42" s="109">
        <v>90</v>
      </c>
      <c r="F42" s="109">
        <f>C42*D42*E42</f>
        <v>7560</v>
      </c>
    </row>
    <row r="43" spans="1:14" s="106" customFormat="1" ht="19.5" thickBot="1" x14ac:dyDescent="0.3">
      <c r="A43" s="210"/>
      <c r="B43" s="126" t="s">
        <v>139</v>
      </c>
      <c r="C43" s="85" t="s">
        <v>140</v>
      </c>
      <c r="D43" s="85" t="s">
        <v>140</v>
      </c>
      <c r="E43" s="85" t="s">
        <v>140</v>
      </c>
      <c r="F43" s="130">
        <f>F42</f>
        <v>7560</v>
      </c>
    </row>
    <row r="44" spans="1:14" s="106" customFormat="1" x14ac:dyDescent="0.25"/>
    <row r="45" spans="1:14" s="106" customFormat="1" ht="80.25" customHeight="1" x14ac:dyDescent="0.25">
      <c r="A45" s="321" t="s">
        <v>190</v>
      </c>
      <c r="B45" s="321"/>
      <c r="C45" s="321"/>
      <c r="D45" s="321"/>
      <c r="E45" s="321"/>
    </row>
    <row r="46" spans="1:14" s="106" customFormat="1" ht="15.75" thickBot="1" x14ac:dyDescent="0.3"/>
    <row r="47" spans="1:14" s="106" customFormat="1" ht="144.75" customHeight="1" thickBot="1" x14ac:dyDescent="0.3">
      <c r="A47" s="108" t="s">
        <v>0</v>
      </c>
      <c r="B47" s="181" t="s">
        <v>149</v>
      </c>
      <c r="C47" s="181" t="s">
        <v>150</v>
      </c>
      <c r="D47" s="181" t="s">
        <v>151</v>
      </c>
    </row>
    <row r="48" spans="1:14" s="106" customFormat="1" ht="19.5" thickBot="1" x14ac:dyDescent="0.3">
      <c r="A48" s="210">
        <v>1</v>
      </c>
      <c r="B48" s="184">
        <v>2</v>
      </c>
      <c r="C48" s="184">
        <v>3</v>
      </c>
      <c r="D48" s="184">
        <v>4</v>
      </c>
    </row>
    <row r="49" spans="1:6" s="106" customFormat="1" ht="113.25" customHeight="1" thickBot="1" x14ac:dyDescent="0.3">
      <c r="A49" s="210">
        <v>1</v>
      </c>
      <c r="B49" s="111" t="s">
        <v>152</v>
      </c>
      <c r="C49" s="184" t="s">
        <v>140</v>
      </c>
      <c r="D49" s="71">
        <f>D50+D52</f>
        <v>8414366.2826429121</v>
      </c>
    </row>
    <row r="50" spans="1:6" s="106" customFormat="1" ht="18.75" x14ac:dyDescent="0.25">
      <c r="A50" s="289" t="s">
        <v>153</v>
      </c>
      <c r="B50" s="112" t="s">
        <v>22</v>
      </c>
      <c r="C50" s="289"/>
      <c r="D50" s="276">
        <f>11389629.69-D53-D54-4.99</f>
        <v>8414366.2826429121</v>
      </c>
    </row>
    <row r="51" spans="1:6" s="106" customFormat="1" ht="19.5" thickBot="1" x14ac:dyDescent="0.3">
      <c r="A51" s="281"/>
      <c r="B51" s="113" t="s">
        <v>154</v>
      </c>
      <c r="C51" s="281"/>
      <c r="D51" s="277"/>
    </row>
    <row r="52" spans="1:6" s="106" customFormat="1" ht="19.5" thickBot="1" x14ac:dyDescent="0.3">
      <c r="A52" s="210" t="s">
        <v>155</v>
      </c>
      <c r="B52" s="114" t="s">
        <v>156</v>
      </c>
      <c r="C52" s="184"/>
      <c r="D52" s="71"/>
    </row>
    <row r="53" spans="1:6" s="106" customFormat="1" ht="120.75" customHeight="1" thickBot="1" x14ac:dyDescent="0.3">
      <c r="A53" s="210">
        <v>2</v>
      </c>
      <c r="B53" s="111" t="s">
        <v>157</v>
      </c>
      <c r="C53" s="184" t="s">
        <v>140</v>
      </c>
      <c r="D53" s="71">
        <f>C54*3.1%</f>
        <v>1124792.8163179231</v>
      </c>
    </row>
    <row r="54" spans="1:6" s="106" customFormat="1" ht="164.25" customHeight="1" thickBot="1" x14ac:dyDescent="0.3">
      <c r="A54" s="210">
        <v>3</v>
      </c>
      <c r="B54" s="111" t="s">
        <v>158</v>
      </c>
      <c r="C54" s="71">
        <f>J28</f>
        <v>36283639.236062035</v>
      </c>
      <c r="D54" s="71">
        <f>C54*5.1%</f>
        <v>1850465.6010391638</v>
      </c>
    </row>
    <row r="55" spans="1:6" s="106" customFormat="1" ht="19.5" thickBot="1" x14ac:dyDescent="0.3">
      <c r="A55" s="210"/>
      <c r="B55" s="126" t="s">
        <v>139</v>
      </c>
      <c r="C55" s="85" t="s">
        <v>140</v>
      </c>
      <c r="D55" s="86">
        <f>D50+D53+D54-E66</f>
        <v>11389624.699999999</v>
      </c>
    </row>
    <row r="56" spans="1:6" s="106" customFormat="1" x14ac:dyDescent="0.25"/>
    <row r="57" spans="1:6" s="106" customFormat="1" ht="36" customHeight="1" x14ac:dyDescent="0.25">
      <c r="A57" s="321" t="s">
        <v>191</v>
      </c>
      <c r="B57" s="321"/>
      <c r="C57" s="321"/>
      <c r="D57" s="321"/>
      <c r="E57" s="321"/>
      <c r="F57" s="321"/>
    </row>
    <row r="58" spans="1:6" s="106" customFormat="1" x14ac:dyDescent="0.25"/>
    <row r="59" spans="1:6" s="106" customFormat="1" ht="18.75" x14ac:dyDescent="0.25">
      <c r="A59" s="332" t="s">
        <v>404</v>
      </c>
      <c r="B59" s="332"/>
      <c r="C59" s="332"/>
      <c r="D59" s="332"/>
      <c r="E59" s="332"/>
      <c r="F59" s="332"/>
    </row>
    <row r="60" spans="1:6" s="106" customFormat="1" ht="18.75" x14ac:dyDescent="0.25">
      <c r="A60" s="332" t="s">
        <v>193</v>
      </c>
      <c r="B60" s="332"/>
      <c r="C60" s="332"/>
      <c r="D60" s="332"/>
      <c r="E60" s="332"/>
      <c r="F60" s="332"/>
    </row>
    <row r="61" spans="1:6" s="106" customFormat="1" ht="19.5" thickBot="1" x14ac:dyDescent="0.3">
      <c r="A61" s="115"/>
    </row>
    <row r="62" spans="1:6" s="106" customFormat="1" ht="108" customHeight="1" thickBot="1" x14ac:dyDescent="0.3">
      <c r="A62" s="108" t="s">
        <v>0</v>
      </c>
      <c r="B62" s="181" t="s">
        <v>1</v>
      </c>
      <c r="C62" s="181" t="s">
        <v>159</v>
      </c>
      <c r="D62" s="181" t="s">
        <v>160</v>
      </c>
      <c r="E62" s="181" t="s">
        <v>161</v>
      </c>
    </row>
    <row r="63" spans="1:6" s="106" customFormat="1" ht="19.5" thickBot="1" x14ac:dyDescent="0.3">
      <c r="A63" s="210">
        <v>1</v>
      </c>
      <c r="B63" s="184">
        <v>2</v>
      </c>
      <c r="C63" s="184">
        <v>3</v>
      </c>
      <c r="D63" s="184">
        <v>4</v>
      </c>
      <c r="E63" s="184">
        <v>5</v>
      </c>
    </row>
    <row r="64" spans="1:6" s="106" customFormat="1" ht="38.25" thickBot="1" x14ac:dyDescent="0.3">
      <c r="A64" s="210">
        <v>1</v>
      </c>
      <c r="B64" s="184" t="s">
        <v>402</v>
      </c>
      <c r="C64" s="184" t="s">
        <v>403</v>
      </c>
      <c r="D64" s="184" t="s">
        <v>403</v>
      </c>
      <c r="E64" s="109">
        <v>0</v>
      </c>
    </row>
    <row r="65" spans="1:12" s="106" customFormat="1" ht="38.25" thickBot="1" x14ac:dyDescent="0.3">
      <c r="A65" s="210">
        <v>2</v>
      </c>
      <c r="B65" s="184" t="s">
        <v>402</v>
      </c>
      <c r="C65" s="184" t="s">
        <v>403</v>
      </c>
      <c r="D65" s="184" t="s">
        <v>403</v>
      </c>
      <c r="E65" s="109">
        <v>0</v>
      </c>
    </row>
    <row r="66" spans="1:12" s="106" customFormat="1" ht="19.5" thickBot="1" x14ac:dyDescent="0.3">
      <c r="A66" s="210"/>
      <c r="B66" s="126" t="s">
        <v>139</v>
      </c>
      <c r="C66" s="85" t="s">
        <v>140</v>
      </c>
      <c r="D66" s="85" t="s">
        <v>140</v>
      </c>
      <c r="E66" s="127">
        <f>SUM(E64:E65)</f>
        <v>0</v>
      </c>
    </row>
    <row r="67" spans="1:12" s="106" customFormat="1" x14ac:dyDescent="0.25"/>
    <row r="68" spans="1:12" s="106" customFormat="1" x14ac:dyDescent="0.25"/>
    <row r="69" spans="1:12" s="106" customFormat="1" ht="18.75" x14ac:dyDescent="0.25">
      <c r="A69" s="326" t="s">
        <v>194</v>
      </c>
      <c r="B69" s="326"/>
      <c r="C69" s="326"/>
      <c r="D69" s="326"/>
      <c r="E69" s="326"/>
      <c r="F69" s="326"/>
      <c r="G69" s="326"/>
    </row>
    <row r="70" spans="1:12" s="106" customFormat="1" ht="18.75" x14ac:dyDescent="0.25">
      <c r="A70" s="116"/>
    </row>
    <row r="71" spans="1:12" s="106" customFormat="1" ht="18.75" x14ac:dyDescent="0.25">
      <c r="A71" s="115"/>
    </row>
    <row r="72" spans="1:12" s="106" customFormat="1" ht="18.75" x14ac:dyDescent="0.25">
      <c r="A72" s="332" t="s">
        <v>312</v>
      </c>
      <c r="B72" s="332"/>
      <c r="C72" s="332"/>
      <c r="D72" s="332"/>
      <c r="E72" s="332"/>
      <c r="F72" s="332"/>
      <c r="G72" s="332"/>
    </row>
    <row r="73" spans="1:12" s="106" customFormat="1" ht="18.75" x14ac:dyDescent="0.25">
      <c r="A73" s="332" t="s">
        <v>311</v>
      </c>
      <c r="B73" s="332"/>
      <c r="C73" s="332"/>
      <c r="D73" s="332"/>
      <c r="E73" s="332"/>
      <c r="F73" s="332"/>
      <c r="G73" s="332"/>
    </row>
    <row r="74" spans="1:12" s="106" customFormat="1" ht="21.75" customHeight="1" thickBot="1" x14ac:dyDescent="0.3">
      <c r="A74" s="115"/>
    </row>
    <row r="75" spans="1:12" s="106" customFormat="1" ht="113.25" thickBot="1" x14ac:dyDescent="0.3">
      <c r="A75" s="108" t="s">
        <v>0</v>
      </c>
      <c r="B75" s="181" t="s">
        <v>141</v>
      </c>
      <c r="C75" s="181" t="s">
        <v>162</v>
      </c>
      <c r="D75" s="181" t="s">
        <v>163</v>
      </c>
      <c r="E75" s="181" t="s">
        <v>164</v>
      </c>
    </row>
    <row r="76" spans="1:12" s="106" customFormat="1" ht="19.5" thickBot="1" x14ac:dyDescent="0.3">
      <c r="A76" s="210">
        <v>1</v>
      </c>
      <c r="B76" s="184">
        <v>2</v>
      </c>
      <c r="C76" s="184">
        <v>3</v>
      </c>
      <c r="D76" s="184">
        <v>4</v>
      </c>
      <c r="E76" s="184">
        <v>5</v>
      </c>
    </row>
    <row r="77" spans="1:12" s="106" customFormat="1" ht="27" customHeight="1" thickBot="1" x14ac:dyDescent="0.3">
      <c r="A77" s="231">
        <v>1</v>
      </c>
      <c r="B77" s="184" t="s">
        <v>309</v>
      </c>
      <c r="C77" s="129">
        <v>37556169.100000001</v>
      </c>
      <c r="D77" s="129">
        <v>2.2000000000000002</v>
      </c>
      <c r="E77" s="158">
        <f>(C77*D77)/100</f>
        <v>826235.7202000001</v>
      </c>
      <c r="H77" s="117"/>
      <c r="L77" s="106">
        <f>813754.14/0.022</f>
        <v>36988824.545454547</v>
      </c>
    </row>
    <row r="78" spans="1:12" s="106" customFormat="1" ht="19.5" thickBot="1" x14ac:dyDescent="0.3">
      <c r="A78" s="231">
        <v>2</v>
      </c>
      <c r="B78" s="184" t="s">
        <v>310</v>
      </c>
      <c r="C78" s="129">
        <v>33917085</v>
      </c>
      <c r="D78" s="129">
        <v>1.5</v>
      </c>
      <c r="E78" s="158">
        <f>(C78*D78)/100</f>
        <v>508756.27500000002</v>
      </c>
    </row>
    <row r="79" spans="1:12" s="106" customFormat="1" ht="19.5" thickBot="1" x14ac:dyDescent="0.3">
      <c r="A79" s="231">
        <v>3</v>
      </c>
      <c r="B79" s="184" t="s">
        <v>409</v>
      </c>
      <c r="C79" s="129"/>
      <c r="D79" s="129"/>
      <c r="E79" s="158">
        <v>0</v>
      </c>
    </row>
    <row r="80" spans="1:12" s="106" customFormat="1" ht="19.5" thickBot="1" x14ac:dyDescent="0.3">
      <c r="A80" s="231"/>
      <c r="B80" s="126" t="s">
        <v>139</v>
      </c>
      <c r="C80" s="130"/>
      <c r="D80" s="130" t="s">
        <v>140</v>
      </c>
      <c r="E80" s="130">
        <f>E78+E77+E79</f>
        <v>1334991.9952000002</v>
      </c>
    </row>
    <row r="81" spans="1:7" s="106" customFormat="1" x14ac:dyDescent="0.25"/>
    <row r="82" spans="1:7" s="106" customFormat="1" ht="18.75" x14ac:dyDescent="0.25">
      <c r="A82" s="326" t="s">
        <v>354</v>
      </c>
      <c r="B82" s="326"/>
      <c r="C82" s="326"/>
      <c r="D82" s="326"/>
      <c r="E82" s="326"/>
    </row>
    <row r="83" spans="1:7" s="106" customFormat="1" ht="18.75" x14ac:dyDescent="0.25">
      <c r="A83" s="116"/>
    </row>
    <row r="84" spans="1:7" s="106" customFormat="1" ht="18.75" x14ac:dyDescent="0.25">
      <c r="A84" s="118" t="s">
        <v>344</v>
      </c>
    </row>
    <row r="85" spans="1:7" s="106" customFormat="1" ht="18.75" x14ac:dyDescent="0.25">
      <c r="A85" s="233" t="s">
        <v>311</v>
      </c>
      <c r="B85" s="233"/>
      <c r="C85" s="233"/>
      <c r="D85" s="233"/>
      <c r="E85" s="233"/>
      <c r="F85" s="233"/>
      <c r="G85" s="215"/>
    </row>
    <row r="86" spans="1:7" s="106" customFormat="1" ht="18.75" x14ac:dyDescent="0.25">
      <c r="A86" s="118"/>
    </row>
    <row r="87" spans="1:7" s="106" customFormat="1" ht="18.75" x14ac:dyDescent="0.25">
      <c r="A87" s="326" t="s">
        <v>355</v>
      </c>
      <c r="B87" s="326"/>
      <c r="C87" s="326"/>
      <c r="D87" s="326"/>
      <c r="E87" s="326"/>
      <c r="F87" s="326"/>
    </row>
    <row r="88" spans="1:7" s="106" customFormat="1" ht="15.75" thickBot="1" x14ac:dyDescent="0.3"/>
    <row r="89" spans="1:7" s="106" customFormat="1" ht="38.25" thickBot="1" x14ac:dyDescent="0.3">
      <c r="A89" s="108" t="s">
        <v>0</v>
      </c>
      <c r="B89" s="181" t="s">
        <v>141</v>
      </c>
      <c r="C89" s="181" t="s">
        <v>166</v>
      </c>
      <c r="D89" s="181" t="s">
        <v>167</v>
      </c>
      <c r="E89" s="181" t="s">
        <v>168</v>
      </c>
      <c r="F89" s="181" t="s">
        <v>145</v>
      </c>
    </row>
    <row r="90" spans="1:7" s="106" customFormat="1" ht="19.5" thickBot="1" x14ac:dyDescent="0.3">
      <c r="A90" s="231">
        <v>1</v>
      </c>
      <c r="B90" s="184">
        <v>2</v>
      </c>
      <c r="C90" s="184">
        <v>3</v>
      </c>
      <c r="D90" s="184">
        <v>4</v>
      </c>
      <c r="E90" s="184">
        <v>5</v>
      </c>
      <c r="F90" s="184">
        <v>6</v>
      </c>
    </row>
    <row r="91" spans="1:7" s="106" customFormat="1" ht="38.25" thickBot="1" x14ac:dyDescent="0.3">
      <c r="A91" s="231">
        <v>1</v>
      </c>
      <c r="B91" s="184" t="s">
        <v>313</v>
      </c>
      <c r="C91" s="184">
        <v>3</v>
      </c>
      <c r="D91" s="184">
        <v>12</v>
      </c>
      <c r="E91" s="129">
        <v>916.66660000000002</v>
      </c>
      <c r="F91" s="158">
        <f>C91*D91*E91</f>
        <v>32999.997600000002</v>
      </c>
    </row>
    <row r="92" spans="1:7" s="106" customFormat="1" ht="30" customHeight="1" thickBot="1" x14ac:dyDescent="0.3">
      <c r="A92" s="231"/>
      <c r="B92" s="126" t="s">
        <v>139</v>
      </c>
      <c r="C92" s="85" t="s">
        <v>140</v>
      </c>
      <c r="D92" s="85" t="s">
        <v>140</v>
      </c>
      <c r="E92" s="85" t="s">
        <v>140</v>
      </c>
      <c r="F92" s="130">
        <f>F91</f>
        <v>32999.997600000002</v>
      </c>
    </row>
    <row r="93" spans="1:7" s="106" customFormat="1" x14ac:dyDescent="0.25"/>
    <row r="94" spans="1:7" s="106" customFormat="1" ht="38.25" customHeight="1" x14ac:dyDescent="0.25">
      <c r="A94" s="326" t="s">
        <v>356</v>
      </c>
      <c r="B94" s="326"/>
      <c r="C94" s="326"/>
      <c r="D94" s="326"/>
      <c r="E94" s="326"/>
      <c r="F94" s="326"/>
    </row>
    <row r="95" spans="1:7" s="106" customFormat="1" ht="15.75" thickBot="1" x14ac:dyDescent="0.3"/>
    <row r="96" spans="1:7" s="106" customFormat="1" ht="38.25" thickBot="1" x14ac:dyDescent="0.3">
      <c r="A96" s="108" t="s">
        <v>0</v>
      </c>
      <c r="B96" s="181" t="s">
        <v>141</v>
      </c>
      <c r="C96" s="181" t="s">
        <v>170</v>
      </c>
      <c r="D96" s="181" t="s">
        <v>171</v>
      </c>
      <c r="E96" s="181" t="s">
        <v>172</v>
      </c>
    </row>
    <row r="97" spans="1:13" s="106" customFormat="1" ht="19.5" thickBot="1" x14ac:dyDescent="0.3">
      <c r="A97" s="210">
        <v>1</v>
      </c>
      <c r="B97" s="184">
        <v>2</v>
      </c>
      <c r="C97" s="184">
        <v>3</v>
      </c>
      <c r="D97" s="184">
        <v>4</v>
      </c>
      <c r="E97" s="184">
        <v>5</v>
      </c>
    </row>
    <row r="98" spans="1:13" s="106" customFormat="1" ht="19.5" thickBot="1" x14ac:dyDescent="0.3">
      <c r="A98" s="210"/>
      <c r="B98" s="184"/>
      <c r="C98" s="109">
        <v>0</v>
      </c>
      <c r="D98" s="109">
        <v>0</v>
      </c>
      <c r="E98" s="109">
        <f>C98*D98</f>
        <v>0</v>
      </c>
    </row>
    <row r="99" spans="1:13" s="106" customFormat="1" ht="19.5" thickBot="1" x14ac:dyDescent="0.3">
      <c r="A99" s="210"/>
      <c r="B99" s="134" t="s">
        <v>139</v>
      </c>
      <c r="C99" s="135">
        <f>C98</f>
        <v>0</v>
      </c>
      <c r="D99" s="135">
        <f>D98</f>
        <v>0</v>
      </c>
      <c r="E99" s="135">
        <f>E98</f>
        <v>0</v>
      </c>
    </row>
    <row r="100" spans="1:13" s="106" customFormat="1" x14ac:dyDescent="0.25"/>
    <row r="101" spans="1:13" s="106" customFormat="1" ht="18.75" x14ac:dyDescent="0.25">
      <c r="A101" s="326" t="s">
        <v>357</v>
      </c>
      <c r="B101" s="326"/>
      <c r="C101" s="326"/>
      <c r="D101" s="326"/>
      <c r="E101" s="326"/>
      <c r="F101" s="326"/>
    </row>
    <row r="102" spans="1:13" s="106" customFormat="1" ht="15.75" thickBot="1" x14ac:dyDescent="0.3"/>
    <row r="103" spans="1:13" s="106" customFormat="1" ht="47.25" customHeight="1" thickBot="1" x14ac:dyDescent="0.3">
      <c r="A103" s="108" t="s">
        <v>0</v>
      </c>
      <c r="B103" s="181" t="s">
        <v>1</v>
      </c>
      <c r="C103" s="181" t="s">
        <v>349</v>
      </c>
      <c r="D103" s="181" t="s">
        <v>345</v>
      </c>
      <c r="E103" s="181" t="s">
        <v>174</v>
      </c>
      <c r="F103" s="181" t="s">
        <v>175</v>
      </c>
      <c r="G103" s="181" t="s">
        <v>351</v>
      </c>
    </row>
    <row r="104" spans="1:13" s="106" customFormat="1" ht="47.25" customHeight="1" thickBot="1" x14ac:dyDescent="0.3">
      <c r="A104" s="210">
        <v>1</v>
      </c>
      <c r="B104" s="184">
        <v>2</v>
      </c>
      <c r="C104" s="184">
        <v>3</v>
      </c>
      <c r="D104" s="184">
        <v>4</v>
      </c>
      <c r="E104" s="184">
        <v>5</v>
      </c>
      <c r="F104" s="184">
        <v>6</v>
      </c>
      <c r="G104" s="184">
        <v>7</v>
      </c>
    </row>
    <row r="105" spans="1:13" s="106" customFormat="1" ht="47.25" customHeight="1" thickBot="1" x14ac:dyDescent="0.3">
      <c r="A105" s="210">
        <v>1</v>
      </c>
      <c r="B105" s="210" t="s">
        <v>314</v>
      </c>
      <c r="C105" s="109" t="s">
        <v>350</v>
      </c>
      <c r="D105" s="109">
        <v>381.68</v>
      </c>
      <c r="E105" s="109">
        <f t="shared" ref="E105:E110" si="1">L105/D105</f>
        <v>7038.1781597149438</v>
      </c>
      <c r="F105" s="184"/>
      <c r="G105" s="109">
        <v>2572255.16</v>
      </c>
      <c r="L105" s="106">
        <v>2686331.84</v>
      </c>
      <c r="M105" s="117">
        <f t="shared" ref="M105:M110" si="2">L105-G105</f>
        <v>114076.6799999997</v>
      </c>
    </row>
    <row r="106" spans="1:13" s="106" customFormat="1" ht="47.25" customHeight="1" thickBot="1" x14ac:dyDescent="0.3">
      <c r="A106" s="210">
        <v>2</v>
      </c>
      <c r="B106" s="210" t="s">
        <v>315</v>
      </c>
      <c r="C106" s="109" t="s">
        <v>350</v>
      </c>
      <c r="D106" s="203">
        <v>175.05</v>
      </c>
      <c r="E106" s="109">
        <f t="shared" si="1"/>
        <v>7251.456155384175</v>
      </c>
      <c r="F106" s="184"/>
      <c r="G106" s="109">
        <v>1188279.19</v>
      </c>
      <c r="L106" s="106">
        <v>1269367.3999999999</v>
      </c>
      <c r="M106" s="117">
        <f t="shared" si="2"/>
        <v>81088.209999999963</v>
      </c>
    </row>
    <row r="107" spans="1:13" s="106" customFormat="1" ht="47.25" customHeight="1" thickBot="1" x14ac:dyDescent="0.3">
      <c r="A107" s="210">
        <v>3</v>
      </c>
      <c r="B107" s="210" t="s">
        <v>316</v>
      </c>
      <c r="C107" s="109" t="s">
        <v>373</v>
      </c>
      <c r="D107" s="109">
        <v>82531</v>
      </c>
      <c r="E107" s="109">
        <f t="shared" si="1"/>
        <v>4.9655948673831656</v>
      </c>
      <c r="F107" s="184"/>
      <c r="G107" s="109">
        <v>470558.77</v>
      </c>
      <c r="L107" s="106">
        <v>409815.51</v>
      </c>
      <c r="M107" s="117">
        <f t="shared" si="2"/>
        <v>-60743.260000000009</v>
      </c>
    </row>
    <row r="108" spans="1:13" s="106" customFormat="1" ht="47.25" customHeight="1" thickBot="1" x14ac:dyDescent="0.3">
      <c r="A108" s="210">
        <v>4</v>
      </c>
      <c r="B108" s="210" t="s">
        <v>317</v>
      </c>
      <c r="C108" s="109" t="s">
        <v>366</v>
      </c>
      <c r="D108" s="109">
        <v>3744</v>
      </c>
      <c r="E108" s="109">
        <f t="shared" si="1"/>
        <v>63.249252136752141</v>
      </c>
      <c r="F108" s="184"/>
      <c r="G108" s="109">
        <v>201212.79</v>
      </c>
      <c r="L108" s="106">
        <v>236805.2</v>
      </c>
      <c r="M108" s="117">
        <f t="shared" si="2"/>
        <v>35592.410000000003</v>
      </c>
    </row>
    <row r="109" spans="1:13" s="106" customFormat="1" ht="23.25" thickBot="1" x14ac:dyDescent="0.3">
      <c r="A109" s="210">
        <v>5</v>
      </c>
      <c r="B109" s="210" t="s">
        <v>318</v>
      </c>
      <c r="C109" s="109" t="s">
        <v>366</v>
      </c>
      <c r="D109" s="109">
        <v>5300.86</v>
      </c>
      <c r="E109" s="109">
        <f t="shared" si="1"/>
        <v>49.383833943926085</v>
      </c>
      <c r="F109" s="184"/>
      <c r="G109" s="109">
        <v>213934.03</v>
      </c>
      <c r="L109" s="106">
        <v>261776.79</v>
      </c>
      <c r="M109" s="117">
        <f t="shared" si="2"/>
        <v>47842.760000000009</v>
      </c>
    </row>
    <row r="110" spans="1:13" s="106" customFormat="1" ht="57" thickBot="1" x14ac:dyDescent="0.3">
      <c r="A110" s="210">
        <v>6</v>
      </c>
      <c r="B110" s="210" t="s">
        <v>319</v>
      </c>
      <c r="C110" s="109" t="s">
        <v>366</v>
      </c>
      <c r="D110" s="109">
        <v>1556.86</v>
      </c>
      <c r="E110" s="109">
        <f t="shared" si="1"/>
        <v>65.158286551134978</v>
      </c>
      <c r="F110" s="184"/>
      <c r="G110" s="109">
        <v>83670.070000000007</v>
      </c>
      <c r="L110" s="106">
        <v>101442.33</v>
      </c>
      <c r="M110" s="117">
        <f t="shared" si="2"/>
        <v>17772.259999999995</v>
      </c>
    </row>
    <row r="111" spans="1:13" s="106" customFormat="1" ht="19.5" thickBot="1" x14ac:dyDescent="0.3">
      <c r="A111" s="210"/>
      <c r="B111" s="126" t="s">
        <v>139</v>
      </c>
      <c r="C111" s="85" t="s">
        <v>140</v>
      </c>
      <c r="D111" s="85" t="s">
        <v>140</v>
      </c>
      <c r="E111" s="85" t="s">
        <v>140</v>
      </c>
      <c r="F111" s="85" t="s">
        <v>140</v>
      </c>
      <c r="G111" s="133">
        <f>G110+G109+G108+G107+G106+G105</f>
        <v>4729910.01</v>
      </c>
      <c r="H111" s="106">
        <v>4965539.07</v>
      </c>
      <c r="J111" s="204">
        <f>SUM(H111-G111)</f>
        <v>235629.06000000052</v>
      </c>
      <c r="M111" s="204"/>
    </row>
    <row r="112" spans="1:13" s="106" customFormat="1" x14ac:dyDescent="0.25"/>
    <row r="113" spans="1:6" s="106" customFormat="1" ht="18.75" x14ac:dyDescent="0.25">
      <c r="A113" s="326" t="s">
        <v>358</v>
      </c>
      <c r="B113" s="326"/>
      <c r="C113" s="326"/>
      <c r="D113" s="326"/>
      <c r="E113" s="326"/>
      <c r="F113" s="118"/>
    </row>
    <row r="114" spans="1:6" s="106" customFormat="1" ht="15.75" thickBot="1" x14ac:dyDescent="0.3"/>
    <row r="115" spans="1:6" s="106" customFormat="1" ht="57" thickBot="1" x14ac:dyDescent="0.3">
      <c r="A115" s="108" t="s">
        <v>0</v>
      </c>
      <c r="B115" s="181" t="s">
        <v>1</v>
      </c>
      <c r="C115" s="181" t="s">
        <v>177</v>
      </c>
      <c r="D115" s="181" t="s">
        <v>178</v>
      </c>
      <c r="E115" s="181" t="s">
        <v>179</v>
      </c>
    </row>
    <row r="116" spans="1:6" s="106" customFormat="1" ht="19.5" thickBot="1" x14ac:dyDescent="0.3">
      <c r="A116" s="210">
        <v>1</v>
      </c>
      <c r="B116" s="184">
        <v>2</v>
      </c>
      <c r="C116" s="184">
        <v>3</v>
      </c>
      <c r="D116" s="184">
        <v>4</v>
      </c>
      <c r="E116" s="184">
        <v>5</v>
      </c>
    </row>
    <row r="117" spans="1:6" s="106" customFormat="1" ht="19.5" thickBot="1" x14ac:dyDescent="0.3">
      <c r="A117" s="210"/>
      <c r="B117" s="184"/>
      <c r="C117" s="184"/>
      <c r="D117" s="184"/>
      <c r="E117" s="184"/>
    </row>
    <row r="118" spans="1:6" s="106" customFormat="1" ht="39.75" customHeight="1" thickBot="1" x14ac:dyDescent="0.3">
      <c r="A118" s="210"/>
      <c r="B118" s="110" t="s">
        <v>139</v>
      </c>
      <c r="C118" s="184" t="s">
        <v>140</v>
      </c>
      <c r="D118" s="184" t="s">
        <v>140</v>
      </c>
      <c r="E118" s="184" t="s">
        <v>140</v>
      </c>
    </row>
    <row r="119" spans="1:6" s="106" customFormat="1" x14ac:dyDescent="0.25"/>
    <row r="120" spans="1:6" s="106" customFormat="1" ht="38.25" customHeight="1" x14ac:dyDescent="0.25">
      <c r="A120" s="321" t="s">
        <v>359</v>
      </c>
      <c r="B120" s="321"/>
      <c r="C120" s="321"/>
      <c r="D120" s="321"/>
      <c r="E120" s="321"/>
    </row>
    <row r="121" spans="1:6" s="106" customFormat="1" ht="19.5" thickBot="1" x14ac:dyDescent="0.3">
      <c r="A121" s="115"/>
    </row>
    <row r="122" spans="1:6" s="106" customFormat="1" ht="38.25" thickBot="1" x14ac:dyDescent="0.3">
      <c r="A122" s="108" t="s">
        <v>0</v>
      </c>
      <c r="B122" s="181" t="s">
        <v>141</v>
      </c>
      <c r="C122" s="181" t="s">
        <v>180</v>
      </c>
      <c r="D122" s="181" t="s">
        <v>181</v>
      </c>
      <c r="E122" s="181" t="s">
        <v>182</v>
      </c>
    </row>
    <row r="123" spans="1:6" s="106" customFormat="1" ht="19.5" thickBot="1" x14ac:dyDescent="0.3">
      <c r="A123" s="210">
        <v>1</v>
      </c>
      <c r="B123" s="184">
        <v>2</v>
      </c>
      <c r="C123" s="184">
        <v>3</v>
      </c>
      <c r="D123" s="184">
        <v>4</v>
      </c>
      <c r="E123" s="184">
        <v>5</v>
      </c>
    </row>
    <row r="124" spans="1:6" s="106" customFormat="1" ht="19.5" thickBot="1" x14ac:dyDescent="0.3">
      <c r="A124" s="210">
        <v>1</v>
      </c>
      <c r="B124" s="120" t="s">
        <v>321</v>
      </c>
      <c r="C124" s="184"/>
      <c r="D124" s="184">
        <v>12</v>
      </c>
      <c r="E124" s="129">
        <v>74040</v>
      </c>
    </row>
    <row r="125" spans="1:6" s="106" customFormat="1" ht="19.5" thickBot="1" x14ac:dyDescent="0.3">
      <c r="A125" s="210">
        <v>2</v>
      </c>
      <c r="B125" s="120" t="s">
        <v>322</v>
      </c>
      <c r="C125" s="184"/>
      <c r="D125" s="184">
        <v>12</v>
      </c>
      <c r="E125" s="129">
        <v>8400</v>
      </c>
    </row>
    <row r="126" spans="1:6" s="106" customFormat="1" ht="24.75" customHeight="1" thickBot="1" x14ac:dyDescent="0.3">
      <c r="A126" s="210">
        <v>3</v>
      </c>
      <c r="B126" s="120" t="s">
        <v>393</v>
      </c>
      <c r="C126" s="184"/>
      <c r="D126" s="184"/>
      <c r="E126" s="129">
        <v>11000</v>
      </c>
    </row>
    <row r="127" spans="1:6" s="106" customFormat="1" ht="19.5" thickBot="1" x14ac:dyDescent="0.3">
      <c r="A127" s="210">
        <v>4</v>
      </c>
      <c r="B127" s="120" t="s">
        <v>323</v>
      </c>
      <c r="C127" s="184"/>
      <c r="D127" s="184">
        <v>12</v>
      </c>
      <c r="E127" s="129">
        <v>81600</v>
      </c>
    </row>
    <row r="128" spans="1:6" s="106" customFormat="1" ht="38.25" thickBot="1" x14ac:dyDescent="0.3">
      <c r="A128" s="210">
        <v>5</v>
      </c>
      <c r="B128" s="120" t="s">
        <v>324</v>
      </c>
      <c r="C128" s="184"/>
      <c r="D128" s="184">
        <v>12</v>
      </c>
      <c r="E128" s="129">
        <v>77760</v>
      </c>
    </row>
    <row r="129" spans="1:12" s="106" customFormat="1" ht="19.5" thickBot="1" x14ac:dyDescent="0.3">
      <c r="A129" s="210">
        <v>6</v>
      </c>
      <c r="B129" s="120" t="s">
        <v>325</v>
      </c>
      <c r="C129" s="184"/>
      <c r="D129" s="184">
        <v>12</v>
      </c>
      <c r="E129" s="129">
        <v>54870</v>
      </c>
    </row>
    <row r="130" spans="1:12" s="106" customFormat="1" ht="57" thickBot="1" x14ac:dyDescent="0.3">
      <c r="A130" s="210">
        <v>7</v>
      </c>
      <c r="B130" s="120" t="s">
        <v>326</v>
      </c>
      <c r="C130" s="184"/>
      <c r="D130" s="184">
        <v>12</v>
      </c>
      <c r="E130" s="129">
        <v>32400</v>
      </c>
    </row>
    <row r="131" spans="1:12" s="106" customFormat="1" ht="38.25" customHeight="1" thickBot="1" x14ac:dyDescent="0.3">
      <c r="A131" s="210">
        <v>8</v>
      </c>
      <c r="B131" s="120" t="s">
        <v>327</v>
      </c>
      <c r="C131" s="184"/>
      <c r="D131" s="184">
        <v>1</v>
      </c>
      <c r="E131" s="129">
        <v>235000</v>
      </c>
    </row>
    <row r="132" spans="1:12" s="106" customFormat="1" ht="38.25" thickBot="1" x14ac:dyDescent="0.3">
      <c r="A132" s="210">
        <v>9</v>
      </c>
      <c r="B132" s="120" t="s">
        <v>328</v>
      </c>
      <c r="C132" s="184"/>
      <c r="D132" s="184">
        <v>4</v>
      </c>
      <c r="E132" s="129">
        <v>4000</v>
      </c>
    </row>
    <row r="133" spans="1:12" s="106" customFormat="1" ht="27" customHeight="1" thickBot="1" x14ac:dyDescent="0.3">
      <c r="A133" s="210">
        <v>10</v>
      </c>
      <c r="B133" s="120" t="s">
        <v>346</v>
      </c>
      <c r="C133" s="184"/>
      <c r="D133" s="184"/>
      <c r="E133" s="129">
        <v>310000</v>
      </c>
    </row>
    <row r="134" spans="1:12" s="106" customFormat="1" ht="38.25" customHeight="1" thickBot="1" x14ac:dyDescent="0.3">
      <c r="A134" s="210">
        <v>11</v>
      </c>
      <c r="B134" s="120" t="s">
        <v>418</v>
      </c>
      <c r="C134" s="184"/>
      <c r="D134" s="184"/>
      <c r="E134" s="129">
        <v>34000.080000000002</v>
      </c>
    </row>
    <row r="135" spans="1:12" s="106" customFormat="1" ht="38.25" customHeight="1" thickBot="1" x14ac:dyDescent="0.3">
      <c r="A135" s="210">
        <v>12</v>
      </c>
      <c r="B135" s="120" t="s">
        <v>330</v>
      </c>
      <c r="C135" s="184"/>
      <c r="D135" s="184">
        <v>1</v>
      </c>
      <c r="E135" s="129">
        <v>34000</v>
      </c>
    </row>
    <row r="136" spans="1:12" s="106" customFormat="1" ht="38.25" customHeight="1" thickBot="1" x14ac:dyDescent="0.3">
      <c r="A136" s="210">
        <v>12</v>
      </c>
      <c r="B136" s="120" t="s">
        <v>377</v>
      </c>
      <c r="C136" s="184"/>
      <c r="D136" s="184"/>
      <c r="E136" s="129">
        <v>50000</v>
      </c>
    </row>
    <row r="137" spans="1:12" s="106" customFormat="1" ht="38.25" thickBot="1" x14ac:dyDescent="0.3">
      <c r="A137" s="210">
        <v>13</v>
      </c>
      <c r="B137" s="120" t="s">
        <v>379</v>
      </c>
      <c r="C137" s="184"/>
      <c r="D137" s="184"/>
      <c r="E137" s="129">
        <v>201669.92</v>
      </c>
    </row>
    <row r="138" spans="1:12" s="106" customFormat="1" ht="38.25" thickBot="1" x14ac:dyDescent="0.3">
      <c r="A138" s="210">
        <v>14</v>
      </c>
      <c r="B138" s="120" t="s">
        <v>329</v>
      </c>
      <c r="C138" s="184"/>
      <c r="D138" s="184"/>
      <c r="E138" s="129">
        <v>18000</v>
      </c>
    </row>
    <row r="139" spans="1:12" s="106" customFormat="1" ht="37.5" customHeight="1" thickBot="1" x14ac:dyDescent="0.3">
      <c r="A139" s="210">
        <v>15</v>
      </c>
      <c r="B139" s="120" t="s">
        <v>419</v>
      </c>
      <c r="C139" s="184"/>
      <c r="D139" s="184"/>
      <c r="E139" s="129">
        <v>160000</v>
      </c>
    </row>
    <row r="140" spans="1:12" s="106" customFormat="1" ht="57" thickBot="1" x14ac:dyDescent="0.3">
      <c r="A140" s="210">
        <v>14</v>
      </c>
      <c r="B140" s="120" t="s">
        <v>421</v>
      </c>
      <c r="C140" s="184"/>
      <c r="D140" s="184"/>
      <c r="E140" s="129">
        <v>10000</v>
      </c>
    </row>
    <row r="141" spans="1:12" s="106" customFormat="1" ht="24.75" customHeight="1" thickBot="1" x14ac:dyDescent="0.3">
      <c r="A141" s="210"/>
      <c r="B141" s="126" t="s">
        <v>139</v>
      </c>
      <c r="C141" s="85" t="s">
        <v>140</v>
      </c>
      <c r="D141" s="85" t="s">
        <v>140</v>
      </c>
      <c r="E141" s="130">
        <f>SUM(E123:E140)</f>
        <v>1396745</v>
      </c>
      <c r="L141" s="204" t="e">
        <f>E141-#REF!-#REF!</f>
        <v>#REF!</v>
      </c>
    </row>
    <row r="142" spans="1:12" s="106" customFormat="1" ht="62.25" customHeight="1" x14ac:dyDescent="0.25"/>
    <row r="143" spans="1:12" s="106" customFormat="1" ht="24.75" customHeight="1" x14ac:dyDescent="0.25">
      <c r="A143" s="321" t="s">
        <v>360</v>
      </c>
      <c r="B143" s="321"/>
      <c r="C143" s="321"/>
      <c r="D143" s="321"/>
      <c r="E143" s="321"/>
    </row>
    <row r="144" spans="1:12" s="106" customFormat="1" ht="24.75" customHeight="1" thickBot="1" x14ac:dyDescent="0.3">
      <c r="A144" s="115"/>
    </row>
    <row r="145" spans="1:12" s="106" customFormat="1" ht="19.5" customHeight="1" thickBot="1" x14ac:dyDescent="0.3">
      <c r="A145" s="108" t="s">
        <v>0</v>
      </c>
      <c r="B145" s="181" t="s">
        <v>141</v>
      </c>
      <c r="C145" s="181" t="s">
        <v>184</v>
      </c>
      <c r="D145" s="181" t="s">
        <v>185</v>
      </c>
    </row>
    <row r="146" spans="1:12" s="106" customFormat="1" ht="19.5" thickBot="1" x14ac:dyDescent="0.3">
      <c r="A146" s="210">
        <v>1</v>
      </c>
      <c r="B146" s="184">
        <v>2</v>
      </c>
      <c r="C146" s="184">
        <v>3</v>
      </c>
      <c r="D146" s="184">
        <v>4</v>
      </c>
    </row>
    <row r="147" spans="1:12" s="106" customFormat="1" ht="19.5" thickBot="1" x14ac:dyDescent="0.3">
      <c r="A147" s="231">
        <v>1</v>
      </c>
      <c r="B147" s="120" t="s">
        <v>331</v>
      </c>
      <c r="C147" s="184">
        <v>1</v>
      </c>
      <c r="D147" s="129">
        <v>81000</v>
      </c>
    </row>
    <row r="148" spans="1:12" s="106" customFormat="1" ht="19.5" thickBot="1" x14ac:dyDescent="0.3">
      <c r="A148" s="231">
        <v>2</v>
      </c>
      <c r="B148" s="120" t="s">
        <v>332</v>
      </c>
      <c r="C148" s="184">
        <v>1</v>
      </c>
      <c r="D148" s="129">
        <v>60000</v>
      </c>
    </row>
    <row r="149" spans="1:12" s="106" customFormat="1" ht="51" customHeight="1" thickBot="1" x14ac:dyDescent="0.3">
      <c r="A149" s="231">
        <v>2</v>
      </c>
      <c r="B149" s="120" t="s">
        <v>334</v>
      </c>
      <c r="C149" s="184"/>
      <c r="D149" s="129">
        <v>128300</v>
      </c>
    </row>
    <row r="150" spans="1:12" s="106" customFormat="1" ht="59.25" customHeight="1" thickBot="1" x14ac:dyDescent="0.3">
      <c r="A150" s="231">
        <v>3</v>
      </c>
      <c r="B150" s="120" t="s">
        <v>380</v>
      </c>
      <c r="C150" s="184"/>
      <c r="D150" s="129">
        <v>120000</v>
      </c>
    </row>
    <row r="151" spans="1:12" s="106" customFormat="1" ht="59.25" customHeight="1" thickBot="1" x14ac:dyDescent="0.3">
      <c r="A151" s="231">
        <v>4</v>
      </c>
      <c r="B151" s="120" t="s">
        <v>370</v>
      </c>
      <c r="C151" s="184"/>
      <c r="D151" s="129">
        <v>60000</v>
      </c>
    </row>
    <row r="152" spans="1:12" s="106" customFormat="1" ht="102" customHeight="1" thickBot="1" x14ac:dyDescent="0.3">
      <c r="A152" s="231"/>
      <c r="B152" s="120" t="s">
        <v>394</v>
      </c>
      <c r="C152" s="184"/>
      <c r="D152" s="129">
        <v>30000</v>
      </c>
    </row>
    <row r="153" spans="1:12" s="106" customFormat="1" ht="72" customHeight="1" thickBot="1" x14ac:dyDescent="0.3">
      <c r="A153" s="231">
        <v>5</v>
      </c>
      <c r="B153" s="120" t="s">
        <v>401</v>
      </c>
      <c r="C153" s="184"/>
      <c r="D153" s="129">
        <v>144000</v>
      </c>
    </row>
    <row r="154" spans="1:12" s="106" customFormat="1" ht="49.5" customHeight="1" thickBot="1" x14ac:dyDescent="0.3">
      <c r="A154" s="231">
        <v>6</v>
      </c>
      <c r="B154" s="120" t="s">
        <v>371</v>
      </c>
      <c r="C154" s="184"/>
      <c r="D154" s="129">
        <v>160000</v>
      </c>
    </row>
    <row r="155" spans="1:12" s="106" customFormat="1" ht="50.25" customHeight="1" thickBot="1" x14ac:dyDescent="0.3">
      <c r="A155" s="231"/>
      <c r="B155" s="126" t="s">
        <v>139</v>
      </c>
      <c r="C155" s="85" t="s">
        <v>140</v>
      </c>
      <c r="D155" s="130">
        <f>SUM(D147:D154)</f>
        <v>783300</v>
      </c>
      <c r="L155" s="204" t="e">
        <f>D155-#REF!</f>
        <v>#REF!</v>
      </c>
    </row>
    <row r="156" spans="1:12" s="106" customFormat="1" x14ac:dyDescent="0.25"/>
    <row r="157" spans="1:12" s="106" customFormat="1" ht="18.75" x14ac:dyDescent="0.25">
      <c r="A157" s="321" t="s">
        <v>361</v>
      </c>
      <c r="B157" s="321"/>
      <c r="C157" s="321"/>
      <c r="D157" s="321"/>
      <c r="E157" s="321"/>
      <c r="F157" s="321"/>
    </row>
    <row r="158" spans="1:12" s="106" customFormat="1" ht="15.75" thickBot="1" x14ac:dyDescent="0.3"/>
    <row r="159" spans="1:12" s="106" customFormat="1" ht="57" thickBot="1" x14ac:dyDescent="0.3">
      <c r="A159" s="108" t="s">
        <v>0</v>
      </c>
      <c r="B159" s="181" t="s">
        <v>141</v>
      </c>
      <c r="C159" s="181" t="s">
        <v>177</v>
      </c>
      <c r="D159" s="181" t="s">
        <v>186</v>
      </c>
      <c r="E159" s="181" t="s">
        <v>187</v>
      </c>
    </row>
    <row r="160" spans="1:12" s="106" customFormat="1" ht="19.5" thickBot="1" x14ac:dyDescent="0.3">
      <c r="A160" s="231"/>
      <c r="B160" s="184">
        <v>1</v>
      </c>
      <c r="C160" s="184">
        <v>2</v>
      </c>
      <c r="D160" s="184">
        <v>3</v>
      </c>
      <c r="E160" s="184">
        <v>4</v>
      </c>
    </row>
    <row r="161" spans="1:14" s="106" customFormat="1" ht="38.25" thickBot="1" x14ac:dyDescent="0.3">
      <c r="A161" s="231">
        <v>1</v>
      </c>
      <c r="B161" s="120" t="s">
        <v>339</v>
      </c>
      <c r="C161" s="184"/>
      <c r="D161" s="129">
        <f>E161</f>
        <v>120000</v>
      </c>
      <c r="E161" s="129">
        <v>120000</v>
      </c>
    </row>
    <row r="162" spans="1:14" s="106" customFormat="1" ht="94.5" thickBot="1" x14ac:dyDescent="0.3">
      <c r="A162" s="231">
        <v>2</v>
      </c>
      <c r="B162" s="120" t="s">
        <v>341</v>
      </c>
      <c r="C162" s="184"/>
      <c r="D162" s="129">
        <v>700000</v>
      </c>
      <c r="E162" s="129">
        <v>700000</v>
      </c>
    </row>
    <row r="163" spans="1:14" s="106" customFormat="1" ht="38.25" thickBot="1" x14ac:dyDescent="0.3">
      <c r="A163" s="230"/>
      <c r="B163" s="128" t="s">
        <v>347</v>
      </c>
      <c r="C163" s="85"/>
      <c r="D163" s="130"/>
      <c r="E163" s="130">
        <f>E162+E161</f>
        <v>820000</v>
      </c>
    </row>
    <row r="164" spans="1:14" s="106" customFormat="1" ht="38.25" thickBot="1" x14ac:dyDescent="0.3">
      <c r="A164" s="231">
        <v>1</v>
      </c>
      <c r="B164" s="120" t="s">
        <v>340</v>
      </c>
      <c r="C164" s="184"/>
      <c r="D164" s="129">
        <f>E164</f>
        <v>135000</v>
      </c>
      <c r="E164" s="129">
        <v>135000</v>
      </c>
      <c r="L164" s="204" t="e">
        <f>F43+F92+E124+E125+E126+E127+E128+E129+E130+E131+E132+E133+E134+E135+#REF!+E140+D147+D149+D150+D151+D153+D154+E161+E164+E165</f>
        <v>#REF!</v>
      </c>
      <c r="M164" s="106">
        <v>2880479.72</v>
      </c>
      <c r="N164" s="204" t="e">
        <f>L164-M164</f>
        <v>#REF!</v>
      </c>
    </row>
    <row r="165" spans="1:14" s="106" customFormat="1" ht="38.25" thickBot="1" x14ac:dyDescent="0.3">
      <c r="A165" s="231">
        <v>2</v>
      </c>
      <c r="B165" s="120" t="s">
        <v>372</v>
      </c>
      <c r="C165" s="184"/>
      <c r="D165" s="129">
        <f>E165</f>
        <v>374400</v>
      </c>
      <c r="E165" s="129">
        <v>374400</v>
      </c>
      <c r="L165" s="204" t="e">
        <f>#REF!+#REF!+#REF!+E162+E166</f>
        <v>#REF!</v>
      </c>
      <c r="M165" s="117">
        <v>993823</v>
      </c>
      <c r="N165" s="204" t="e">
        <f>L165-M165</f>
        <v>#REF!</v>
      </c>
    </row>
    <row r="166" spans="1:14" s="106" customFormat="1" ht="75.75" thickBot="1" x14ac:dyDescent="0.3">
      <c r="A166" s="231">
        <v>3</v>
      </c>
      <c r="B166" s="120" t="s">
        <v>408</v>
      </c>
      <c r="C166" s="184"/>
      <c r="D166" s="129">
        <f>E166</f>
        <v>0</v>
      </c>
      <c r="E166" s="129">
        <v>0</v>
      </c>
    </row>
    <row r="167" spans="1:14" s="106" customFormat="1" ht="38.25" thickBot="1" x14ac:dyDescent="0.3">
      <c r="A167" s="230"/>
      <c r="B167" s="128" t="s">
        <v>348</v>
      </c>
      <c r="C167" s="85"/>
      <c r="D167" s="130"/>
      <c r="E167" s="130">
        <f>E166+E165+E164</f>
        <v>509400</v>
      </c>
    </row>
    <row r="168" spans="1:14" x14ac:dyDescent="0.25">
      <c r="A168" s="106"/>
      <c r="B168" s="106"/>
      <c r="C168" s="106"/>
      <c r="D168" s="106"/>
      <c r="E168" s="106"/>
      <c r="F168" s="106"/>
    </row>
    <row r="169" spans="1:14" x14ac:dyDescent="0.25">
      <c r="A169" s="106" t="s">
        <v>420</v>
      </c>
      <c r="B169" s="106"/>
      <c r="C169" s="106"/>
      <c r="D169" s="106"/>
      <c r="E169" s="106"/>
      <c r="F169" s="106"/>
    </row>
    <row r="170" spans="1:14" x14ac:dyDescent="0.25">
      <c r="A170" t="s">
        <v>428</v>
      </c>
    </row>
    <row r="171" spans="1:14" x14ac:dyDescent="0.25">
      <c r="L171" s="216">
        <f>J28+F43+D55+E80+F92+G111+E141+D155+E163+E167</f>
        <v>57288170.938862033</v>
      </c>
    </row>
    <row r="173" spans="1:14" x14ac:dyDescent="0.25">
      <c r="L173">
        <v>55499738</v>
      </c>
    </row>
    <row r="174" spans="1:14" x14ac:dyDescent="0.25">
      <c r="L174" s="216">
        <f>L171-L173</f>
        <v>1788432.9388620332</v>
      </c>
    </row>
    <row r="176" spans="1:14" x14ac:dyDescent="0.25">
      <c r="F176">
        <v>221</v>
      </c>
      <c r="G176" s="216">
        <f>F92</f>
        <v>32999.997600000002</v>
      </c>
    </row>
    <row r="178" spans="6:7" x14ac:dyDescent="0.25">
      <c r="F178">
        <v>225</v>
      </c>
      <c r="G178" s="216">
        <f>E141</f>
        <v>1396745</v>
      </c>
    </row>
    <row r="181" spans="6:7" x14ac:dyDescent="0.25">
      <c r="F181">
        <v>226</v>
      </c>
      <c r="G181" s="216">
        <f>D155</f>
        <v>783300</v>
      </c>
    </row>
    <row r="185" spans="6:7" x14ac:dyDescent="0.25">
      <c r="F185">
        <v>310</v>
      </c>
      <c r="G185" s="216">
        <f>E163</f>
        <v>820000</v>
      </c>
    </row>
    <row r="189" spans="6:7" x14ac:dyDescent="0.25">
      <c r="F189">
        <v>340</v>
      </c>
      <c r="G189" s="216">
        <f>E167</f>
        <v>509400</v>
      </c>
    </row>
    <row r="195" spans="7:7" x14ac:dyDescent="0.25">
      <c r="G195" s="216">
        <f>SUM(G176:G188)</f>
        <v>3033044.9975999999</v>
      </c>
    </row>
  </sheetData>
  <mergeCells count="35">
    <mergeCell ref="A113:E113"/>
    <mergeCell ref="A120:E120"/>
    <mergeCell ref="A73:G73"/>
    <mergeCell ref="A82:E82"/>
    <mergeCell ref="A87:F87"/>
    <mergeCell ref="A94:F94"/>
    <mergeCell ref="A101:F101"/>
    <mergeCell ref="A57:F57"/>
    <mergeCell ref="A59:F59"/>
    <mergeCell ref="A60:F60"/>
    <mergeCell ref="A69:G69"/>
    <mergeCell ref="A72:G72"/>
    <mergeCell ref="H20:H22"/>
    <mergeCell ref="A31:F31"/>
    <mergeCell ref="A38:F38"/>
    <mergeCell ref="A45:E45"/>
    <mergeCell ref="A50:A51"/>
    <mergeCell ref="C50:C51"/>
    <mergeCell ref="D50:D51"/>
    <mergeCell ref="A143:E143"/>
    <mergeCell ref="A157:F157"/>
    <mergeCell ref="A11:J11"/>
    <mergeCell ref="A13:J13"/>
    <mergeCell ref="A15:J15"/>
    <mergeCell ref="A16:J16"/>
    <mergeCell ref="A18:J18"/>
    <mergeCell ref="I20:I22"/>
    <mergeCell ref="J20:J22"/>
    <mergeCell ref="D21:D22"/>
    <mergeCell ref="E21:G21"/>
    <mergeCell ref="A28:B28"/>
    <mergeCell ref="A20:A22"/>
    <mergeCell ref="B20:B22"/>
    <mergeCell ref="C20:C22"/>
    <mergeCell ref="D20:G20"/>
  </mergeCells>
  <pageMargins left="0.7" right="0.7" top="0.75" bottom="0.75" header="0.3" footer="0.3"/>
  <pageSetup paperSize="9" scale="51" orientation="landscape" r:id="rId1"/>
  <rowBreaks count="7" manualBreakCount="7">
    <brk id="30" max="9" man="1"/>
    <brk id="44" max="9" man="1"/>
    <brk id="56" max="9" man="1"/>
    <brk id="86" max="9" man="1"/>
    <brk id="112" max="9" man="1"/>
    <brk id="142" max="9" man="1"/>
    <brk id="1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27</vt:i4>
      </vt:variant>
    </vt:vector>
  </HeadingPairs>
  <TitlesOfParts>
    <vt:vector size="41" baseType="lpstr">
      <vt:lpstr>титульный</vt:lpstr>
      <vt:lpstr>Раздел I 2018</vt:lpstr>
      <vt:lpstr>Раздел I 2019</vt:lpstr>
      <vt:lpstr>Раздел I 2020</vt:lpstr>
      <vt:lpstr>Раздел 4</vt:lpstr>
      <vt:lpstr>Раздел 5 подпись</vt:lpstr>
      <vt:lpstr>Раздел II обоснование 2018</vt:lpstr>
      <vt:lpstr>Раздел II обоснование 2019</vt:lpstr>
      <vt:lpstr>Раздел II обоснование 2020</vt:lpstr>
      <vt:lpstr>Раздел II обоснование ПДД 2018</vt:lpstr>
      <vt:lpstr>Раздел II обоснование ПДД2019</vt:lpstr>
      <vt:lpstr>Раздел II обоснование ПДД 2020</vt:lpstr>
      <vt:lpstr>Сведения по иным</vt:lpstr>
      <vt:lpstr>Лист1</vt:lpstr>
      <vt:lpstr>'Сведения по иным'!_Par917</vt:lpstr>
      <vt:lpstr>'Сведения по иным'!_Par918</vt:lpstr>
      <vt:lpstr>'Сведения по иным'!_Par919</vt:lpstr>
      <vt:lpstr>'Сведения по иным'!_Par920</vt:lpstr>
      <vt:lpstr>'Сведения по иным'!_Par921</vt:lpstr>
      <vt:lpstr>'Сведения по иным'!_Par922</vt:lpstr>
      <vt:lpstr>'Сведения по иным'!_Par923</vt:lpstr>
      <vt:lpstr>'Сведения по иным'!_Par924</vt:lpstr>
      <vt:lpstr>'Сведения по иным'!_Par925</vt:lpstr>
      <vt:lpstr>'Сведения по иным'!_Par926</vt:lpstr>
      <vt:lpstr>'Раздел 4'!Заголовки_для_печати</vt:lpstr>
      <vt:lpstr>'Раздел I 2018'!Заголовки_для_печати</vt:lpstr>
      <vt:lpstr>'Раздел I 2019'!Заголовки_для_печати</vt:lpstr>
      <vt:lpstr>'Раздел I 2020'!Заголовки_для_печати</vt:lpstr>
      <vt:lpstr>'Раздел 4'!Область_печати</vt:lpstr>
      <vt:lpstr>'Раздел 5 подпись'!Область_печати</vt:lpstr>
      <vt:lpstr>'Раздел I 2018'!Область_печати</vt:lpstr>
      <vt:lpstr>'Раздел I 2019'!Область_печати</vt:lpstr>
      <vt:lpstr>'Раздел I 2020'!Область_печати</vt:lpstr>
      <vt:lpstr>'Раздел II обоснование 2018'!Область_печати</vt:lpstr>
      <vt:lpstr>'Раздел II обоснование 2019'!Область_печати</vt:lpstr>
      <vt:lpstr>'Раздел II обоснование 2020'!Область_печати</vt:lpstr>
      <vt:lpstr>'Раздел II обоснование ПДД 2018'!Область_печати</vt:lpstr>
      <vt:lpstr>'Раздел II обоснование ПДД 2020'!Область_печати</vt:lpstr>
      <vt:lpstr>'Раздел II обоснование ПДД2019'!Область_печати</vt:lpstr>
      <vt:lpstr>'Сведения по иным'!Область_печати</vt:lpstr>
      <vt:lpstr>титульный!Область_печати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SShlyahtina</cp:lastModifiedBy>
  <cp:lastPrinted>2019-01-10T01:52:56Z</cp:lastPrinted>
  <dcterms:created xsi:type="dcterms:W3CDTF">2017-01-10T09:11:14Z</dcterms:created>
  <dcterms:modified xsi:type="dcterms:W3CDTF">2019-01-10T01:53:44Z</dcterms:modified>
</cp:coreProperties>
</file>